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Communication\Publications\Quarterly Bulletins\Tables\2025\202503\"/>
    </mc:Choice>
  </mc:AlternateContent>
  <bookViews>
    <workbookView xWindow="0" yWindow="0" windowWidth="23256" windowHeight="11376" tabRatio="847"/>
  </bookViews>
  <sheets>
    <sheet name="A_Depository Corporations Surve" sheetId="1" r:id="rId1"/>
    <sheet name="A_Denominations of Currency " sheetId="5" r:id="rId2"/>
  </sheets>
  <externalReferences>
    <externalReference r:id="rId3"/>
  </externalReferences>
  <definedNames>
    <definedName name="_xlnm.Print_Area" localSheetId="0">'A_Depository Corporations Surve'!$A$1:$T$142</definedName>
  </definedNames>
  <calcPr calcId="162913"/>
</workbook>
</file>

<file path=xl/calcChain.xml><?xml version="1.0" encoding="utf-8"?>
<calcChain xmlns="http://schemas.openxmlformats.org/spreadsheetml/2006/main">
  <c r="B190" i="5" l="1"/>
  <c r="I361" i="5"/>
  <c r="H361" i="5"/>
  <c r="G361" i="5"/>
  <c r="F361" i="5"/>
  <c r="J190" i="5"/>
  <c r="I190" i="5"/>
  <c r="H190" i="5"/>
  <c r="G190" i="5"/>
  <c r="F190" i="5"/>
  <c r="E190" i="5"/>
  <c r="D190" i="5"/>
  <c r="C361" i="5" l="1"/>
  <c r="C190" i="5"/>
  <c r="T140" i="1"/>
  <c r="S140" i="1"/>
  <c r="R140" i="1"/>
  <c r="Q140" i="1"/>
  <c r="P140" i="1"/>
  <c r="O140" i="1"/>
  <c r="D140" i="1"/>
  <c r="L140" i="1"/>
  <c r="K140" i="1"/>
  <c r="J140" i="1"/>
  <c r="I140" i="1"/>
  <c r="H140" i="1"/>
  <c r="G140" i="1"/>
  <c r="E140" i="1"/>
  <c r="C140" i="1"/>
  <c r="B140" i="1"/>
  <c r="U140" i="1" l="1"/>
  <c r="N140" i="1"/>
  <c r="L128" i="1" l="1"/>
  <c r="L126" i="1"/>
  <c r="L139" i="1"/>
  <c r="I360" i="5" l="1"/>
  <c r="H360" i="5"/>
  <c r="G360" i="5"/>
  <c r="F360" i="5"/>
  <c r="J189" i="5"/>
  <c r="I189" i="5"/>
  <c r="H189" i="5"/>
  <c r="G189" i="5"/>
  <c r="F189" i="5"/>
  <c r="E189" i="5"/>
  <c r="D189" i="5"/>
  <c r="C189" i="5" l="1"/>
  <c r="C360" i="5" l="1"/>
  <c r="B189" i="5" s="1"/>
  <c r="N139" i="1" l="1"/>
  <c r="N9" i="1" l="1"/>
  <c r="N10" i="1"/>
  <c r="N11" i="1"/>
  <c r="T36" i="1"/>
  <c r="S36" i="1"/>
  <c r="R36" i="1"/>
  <c r="Q36" i="1"/>
  <c r="P36" i="1"/>
  <c r="O36" i="1"/>
  <c r="L36" i="1"/>
  <c r="K36" i="1"/>
  <c r="J36" i="1"/>
  <c r="I36" i="1"/>
  <c r="H36" i="1"/>
  <c r="G36" i="1"/>
  <c r="E36" i="1"/>
  <c r="D36" i="1"/>
  <c r="C36" i="1"/>
  <c r="B36" i="1"/>
  <c r="N36" i="1"/>
  <c r="T37" i="1"/>
  <c r="T9" i="1" s="1"/>
  <c r="S37" i="1"/>
  <c r="S9" i="1" s="1"/>
  <c r="R37" i="1"/>
  <c r="R9" i="1" s="1"/>
  <c r="Q37" i="1"/>
  <c r="Q9" i="1" s="1"/>
  <c r="P37" i="1"/>
  <c r="P9" i="1" s="1"/>
  <c r="O37" i="1"/>
  <c r="O9" i="1" s="1"/>
  <c r="L37" i="1"/>
  <c r="L9" i="1" s="1"/>
  <c r="K37" i="1"/>
  <c r="K9" i="1" s="1"/>
  <c r="J37" i="1"/>
  <c r="J9" i="1" s="1"/>
  <c r="I37" i="1"/>
  <c r="I9" i="1" s="1"/>
  <c r="H37" i="1"/>
  <c r="H9" i="1" s="1"/>
  <c r="G37" i="1"/>
  <c r="G9" i="1" s="1"/>
  <c r="E37" i="1"/>
  <c r="E9" i="1" s="1"/>
  <c r="D37" i="1"/>
  <c r="D9" i="1" s="1"/>
  <c r="C37" i="1"/>
  <c r="C9" i="1" s="1"/>
  <c r="B37" i="1"/>
  <c r="B9" i="1" s="1"/>
  <c r="N37" i="1"/>
  <c r="T38" i="1"/>
  <c r="S38" i="1"/>
  <c r="R38" i="1"/>
  <c r="Q38" i="1"/>
  <c r="P38" i="1"/>
  <c r="O38" i="1"/>
  <c r="L38" i="1"/>
  <c r="K38" i="1"/>
  <c r="J38" i="1"/>
  <c r="I38" i="1"/>
  <c r="H38" i="1"/>
  <c r="G38" i="1"/>
  <c r="E38" i="1"/>
  <c r="D38" i="1"/>
  <c r="C38" i="1"/>
  <c r="B38" i="1"/>
  <c r="N38" i="1"/>
  <c r="T39" i="1"/>
  <c r="S39" i="1"/>
  <c r="R39" i="1"/>
  <c r="Q39" i="1"/>
  <c r="P39" i="1"/>
  <c r="O39" i="1"/>
  <c r="L39" i="1"/>
  <c r="K39" i="1"/>
  <c r="J39" i="1"/>
  <c r="I39" i="1"/>
  <c r="H39" i="1"/>
  <c r="G39" i="1"/>
  <c r="E39" i="1"/>
  <c r="D39" i="1"/>
  <c r="C39" i="1"/>
  <c r="B39" i="1"/>
  <c r="N39" i="1"/>
  <c r="T40" i="1"/>
  <c r="S40" i="1"/>
  <c r="R40" i="1"/>
  <c r="Q40" i="1"/>
  <c r="P40" i="1"/>
  <c r="O40" i="1"/>
  <c r="L40" i="1"/>
  <c r="K40" i="1"/>
  <c r="J40" i="1"/>
  <c r="I40" i="1"/>
  <c r="H40" i="1"/>
  <c r="G40" i="1"/>
  <c r="E40" i="1"/>
  <c r="D40" i="1"/>
  <c r="C40" i="1"/>
  <c r="B40" i="1"/>
  <c r="N40" i="1"/>
  <c r="T41" i="1"/>
  <c r="T10" i="1" s="1"/>
  <c r="S41" i="1"/>
  <c r="S10" i="1" s="1"/>
  <c r="R41" i="1"/>
  <c r="R10" i="1" s="1"/>
  <c r="Q41" i="1"/>
  <c r="Q10" i="1" s="1"/>
  <c r="P41" i="1"/>
  <c r="P10" i="1" s="1"/>
  <c r="O41" i="1"/>
  <c r="O10" i="1" s="1"/>
  <c r="L41" i="1"/>
  <c r="L10" i="1" s="1"/>
  <c r="K41" i="1"/>
  <c r="K10" i="1" s="1"/>
  <c r="J41" i="1"/>
  <c r="J10" i="1" s="1"/>
  <c r="I41" i="1"/>
  <c r="I10" i="1" s="1"/>
  <c r="H41" i="1"/>
  <c r="H10" i="1" s="1"/>
  <c r="G41" i="1"/>
  <c r="G10" i="1" s="1"/>
  <c r="E41" i="1"/>
  <c r="E10" i="1" s="1"/>
  <c r="D41" i="1"/>
  <c r="D10" i="1" s="1"/>
  <c r="C41" i="1"/>
  <c r="C10" i="1" s="1"/>
  <c r="B41" i="1"/>
  <c r="B10" i="1" s="1"/>
  <c r="N41" i="1"/>
  <c r="T42" i="1"/>
  <c r="S42" i="1"/>
  <c r="R42" i="1"/>
  <c r="Q42" i="1"/>
  <c r="P42" i="1"/>
  <c r="O42" i="1"/>
  <c r="L42" i="1"/>
  <c r="K42" i="1"/>
  <c r="J42" i="1"/>
  <c r="I42" i="1"/>
  <c r="H42" i="1"/>
  <c r="G42" i="1"/>
  <c r="E42" i="1"/>
  <c r="D42" i="1"/>
  <c r="C42" i="1"/>
  <c r="B42" i="1"/>
  <c r="N42" i="1"/>
  <c r="T43" i="1"/>
  <c r="S43" i="1"/>
  <c r="R43" i="1"/>
  <c r="Q43" i="1"/>
  <c r="P43" i="1"/>
  <c r="O43" i="1"/>
  <c r="L43" i="1"/>
  <c r="K43" i="1"/>
  <c r="J43" i="1"/>
  <c r="I43" i="1"/>
  <c r="H43" i="1"/>
  <c r="G43" i="1"/>
  <c r="E43" i="1"/>
  <c r="D43" i="1"/>
  <c r="C43" i="1"/>
  <c r="B43" i="1"/>
  <c r="N43" i="1"/>
  <c r="T44" i="1"/>
  <c r="S44" i="1"/>
  <c r="R44" i="1"/>
  <c r="Q44" i="1"/>
  <c r="P44" i="1"/>
  <c r="O44" i="1"/>
  <c r="L44" i="1"/>
  <c r="K44" i="1"/>
  <c r="J44" i="1"/>
  <c r="I44" i="1"/>
  <c r="H44" i="1"/>
  <c r="G44" i="1"/>
  <c r="E44" i="1"/>
  <c r="D44" i="1"/>
  <c r="C44" i="1"/>
  <c r="B44" i="1"/>
  <c r="N44" i="1"/>
  <c r="T45" i="1"/>
  <c r="T11" i="1" s="1"/>
  <c r="S45" i="1"/>
  <c r="S11" i="1" s="1"/>
  <c r="R45" i="1"/>
  <c r="R11" i="1" s="1"/>
  <c r="Q45" i="1"/>
  <c r="Q11" i="1" s="1"/>
  <c r="P45" i="1"/>
  <c r="P11" i="1" s="1"/>
  <c r="O45" i="1"/>
  <c r="O11" i="1" s="1"/>
  <c r="L45" i="1"/>
  <c r="L11" i="1" s="1"/>
  <c r="K45" i="1"/>
  <c r="K11" i="1" s="1"/>
  <c r="J45" i="1"/>
  <c r="J11" i="1" s="1"/>
  <c r="I45" i="1"/>
  <c r="I11" i="1" s="1"/>
  <c r="H45" i="1"/>
  <c r="H11" i="1" s="1"/>
  <c r="G45" i="1"/>
  <c r="G11" i="1" s="1"/>
  <c r="E45" i="1"/>
  <c r="E11" i="1" s="1"/>
  <c r="D45" i="1"/>
  <c r="D11" i="1" s="1"/>
  <c r="C45" i="1"/>
  <c r="C11" i="1" s="1"/>
  <c r="B45" i="1"/>
  <c r="B11" i="1" s="1"/>
  <c r="N45" i="1"/>
  <c r="T46" i="1"/>
  <c r="S46" i="1"/>
  <c r="R46" i="1"/>
  <c r="Q46" i="1"/>
  <c r="P46" i="1"/>
  <c r="O46" i="1"/>
  <c r="L46" i="1"/>
  <c r="K46" i="1"/>
  <c r="J46" i="1"/>
  <c r="I46" i="1"/>
  <c r="H46" i="1"/>
  <c r="G46" i="1"/>
  <c r="E46" i="1"/>
  <c r="D46" i="1"/>
  <c r="C46" i="1"/>
  <c r="B46" i="1"/>
  <c r="N46" i="1"/>
  <c r="T47" i="1"/>
  <c r="S47" i="1"/>
  <c r="R47" i="1"/>
  <c r="Q47" i="1"/>
  <c r="P47" i="1"/>
  <c r="O47" i="1"/>
  <c r="L47" i="1"/>
  <c r="K47" i="1"/>
  <c r="J47" i="1"/>
  <c r="I47" i="1"/>
  <c r="H47" i="1"/>
  <c r="G47" i="1"/>
  <c r="E47" i="1"/>
  <c r="D47" i="1"/>
  <c r="C47" i="1"/>
  <c r="B47" i="1"/>
  <c r="U11" i="1" l="1"/>
  <c r="U10" i="1"/>
  <c r="U9" i="1"/>
  <c r="U43" i="1"/>
  <c r="U42" i="1"/>
  <c r="U46" i="1"/>
  <c r="U40" i="1"/>
  <c r="U39" i="1"/>
  <c r="U44" i="1"/>
  <c r="U45" i="1"/>
  <c r="U41" i="1"/>
  <c r="U38" i="1"/>
  <c r="U37" i="1"/>
  <c r="U36" i="1"/>
  <c r="N47" i="1" l="1"/>
  <c r="U47" i="1" l="1"/>
  <c r="C4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B47" i="5" l="1"/>
  <c r="C48" i="5"/>
  <c r="B48" i="5" s="1"/>
  <c r="C49" i="5"/>
  <c r="B49" i="5" s="1"/>
  <c r="C50" i="5"/>
  <c r="B50" i="5" s="1"/>
  <c r="C51" i="5"/>
  <c r="B51" i="5" s="1"/>
  <c r="C52" i="5"/>
  <c r="B52" i="5" s="1"/>
  <c r="C53" i="5"/>
  <c r="B53" i="5" s="1"/>
  <c r="C54" i="5"/>
  <c r="B54" i="5" s="1"/>
  <c r="C55" i="5"/>
  <c r="B55" i="5" s="1"/>
  <c r="C56" i="5"/>
  <c r="B56" i="5" s="1"/>
  <c r="C57" i="5"/>
  <c r="B57" i="5" s="1"/>
  <c r="C58" i="5"/>
  <c r="B58" i="5" s="1"/>
  <c r="C59" i="5"/>
  <c r="B59" i="5" s="1"/>
  <c r="C60" i="5"/>
  <c r="B60" i="5" s="1"/>
  <c r="C61" i="5"/>
  <c r="B61" i="5" s="1"/>
  <c r="C62" i="5"/>
  <c r="B62" i="5" s="1"/>
  <c r="C63" i="5"/>
  <c r="B63" i="5" s="1"/>
  <c r="C64" i="5"/>
  <c r="B64" i="5" s="1"/>
  <c r="C65" i="5"/>
  <c r="B65" i="5" s="1"/>
  <c r="C66" i="5"/>
  <c r="B66" i="5" s="1"/>
  <c r="C67" i="5"/>
  <c r="B67" i="5" s="1"/>
  <c r="C68" i="5"/>
  <c r="B68" i="5" s="1"/>
  <c r="C69" i="5"/>
  <c r="B69" i="5" s="1"/>
  <c r="C70" i="5"/>
  <c r="B70" i="5" s="1"/>
  <c r="C71" i="5"/>
  <c r="B71" i="5" s="1"/>
  <c r="C72" i="5"/>
  <c r="B72" i="5" s="1"/>
  <c r="C73" i="5"/>
  <c r="B73" i="5" s="1"/>
  <c r="C74" i="5"/>
  <c r="B74" i="5" s="1"/>
  <c r="C75" i="5"/>
  <c r="B75" i="5" s="1"/>
  <c r="C76" i="5"/>
  <c r="B76" i="5" s="1"/>
  <c r="C77" i="5"/>
  <c r="B77" i="5" s="1"/>
  <c r="C78" i="5"/>
  <c r="B78" i="5" s="1"/>
  <c r="C79" i="5"/>
  <c r="B79" i="5" s="1"/>
  <c r="C80" i="5"/>
  <c r="B80" i="5" s="1"/>
  <c r="C81" i="5"/>
  <c r="B81" i="5" s="1"/>
  <c r="C82" i="5"/>
  <c r="B82" i="5" s="1"/>
  <c r="C83" i="5"/>
  <c r="B83" i="5" s="1"/>
  <c r="C84" i="5"/>
  <c r="B84" i="5" s="1"/>
  <c r="C85" i="5"/>
  <c r="B85" i="5" s="1"/>
  <c r="C86" i="5"/>
  <c r="B86" i="5" s="1"/>
  <c r="C87" i="5"/>
  <c r="B87" i="5" s="1"/>
  <c r="C88" i="5"/>
  <c r="B88" i="5" s="1"/>
  <c r="C89" i="5"/>
  <c r="B89" i="5" s="1"/>
  <c r="C90" i="5"/>
  <c r="B90" i="5" s="1"/>
  <c r="C91" i="5"/>
  <c r="B91" i="5" s="1"/>
  <c r="C92" i="5"/>
  <c r="B92" i="5" s="1"/>
  <c r="C93" i="5"/>
  <c r="B93" i="5" s="1"/>
  <c r="C94" i="5"/>
  <c r="B94" i="5" s="1"/>
  <c r="C95" i="5"/>
  <c r="B95" i="5" s="1"/>
  <c r="C96" i="5"/>
  <c r="B96" i="5" s="1"/>
  <c r="C97" i="5"/>
  <c r="B97" i="5" s="1"/>
  <c r="J188" i="5" l="1"/>
  <c r="I188" i="5"/>
  <c r="H188" i="5"/>
  <c r="G188" i="5"/>
  <c r="F188" i="5"/>
  <c r="E188" i="5"/>
  <c r="I359" i="5"/>
  <c r="H359" i="5"/>
  <c r="G359" i="5"/>
  <c r="F359" i="5"/>
  <c r="C359" i="5" l="1"/>
  <c r="C188" i="5"/>
  <c r="B188" i="5" l="1"/>
  <c r="N138" i="1" l="1"/>
  <c r="G186" i="5" l="1"/>
  <c r="F186" i="5"/>
  <c r="J187" i="5" l="1"/>
  <c r="I187" i="5"/>
  <c r="H187" i="5"/>
  <c r="G187" i="5"/>
  <c r="F187" i="5"/>
  <c r="E187" i="5"/>
  <c r="I358" i="5"/>
  <c r="H358" i="5"/>
  <c r="G358" i="5"/>
  <c r="F358" i="5"/>
  <c r="J216" i="5" l="1"/>
  <c r="I216" i="5"/>
  <c r="H216" i="5"/>
  <c r="G216" i="5"/>
  <c r="F216" i="5"/>
  <c r="E216" i="5"/>
  <c r="D216" i="5"/>
  <c r="J45" i="5"/>
  <c r="I45" i="5"/>
  <c r="H45" i="5"/>
  <c r="G45" i="5"/>
  <c r="F45" i="5"/>
  <c r="E45" i="5"/>
  <c r="D45" i="5"/>
  <c r="C358" i="5" l="1"/>
  <c r="C216" i="5" s="1"/>
  <c r="C187" i="5"/>
  <c r="N34" i="1"/>
  <c r="N137" i="1"/>
  <c r="B187" i="5" l="1"/>
  <c r="B45" i="5" s="1"/>
  <c r="C45" i="5"/>
  <c r="I357" i="5"/>
  <c r="H357" i="5"/>
  <c r="G357" i="5"/>
  <c r="F357" i="5"/>
  <c r="J186" i="5"/>
  <c r="I186" i="5"/>
  <c r="H186" i="5"/>
  <c r="E186" i="5"/>
  <c r="C357" i="5" l="1"/>
  <c r="C186" i="5"/>
  <c r="B186" i="5" l="1"/>
  <c r="N136" i="1" l="1"/>
  <c r="J356" i="5" l="1"/>
  <c r="I356" i="5"/>
  <c r="H356" i="5"/>
  <c r="G356" i="5"/>
  <c r="F356" i="5"/>
  <c r="J185" i="5"/>
  <c r="I185" i="5"/>
  <c r="H185" i="5"/>
  <c r="G185" i="5"/>
  <c r="F185" i="5"/>
  <c r="E185" i="5"/>
  <c r="D185" i="5"/>
  <c r="C356" i="5" l="1"/>
  <c r="C185" i="5"/>
  <c r="B185" i="5" l="1"/>
  <c r="N135" i="1"/>
  <c r="J184" i="5" l="1"/>
  <c r="I184" i="5"/>
  <c r="H184" i="5"/>
  <c r="G184" i="5"/>
  <c r="F184" i="5"/>
  <c r="E184" i="5"/>
  <c r="F355" i="5"/>
  <c r="E355" i="5"/>
  <c r="G355" i="5"/>
  <c r="H355" i="5"/>
  <c r="I355" i="5"/>
  <c r="D44" i="5" l="1"/>
  <c r="N33" i="1"/>
  <c r="J214" i="5" l="1"/>
  <c r="D214" i="5"/>
  <c r="E215" i="5"/>
  <c r="J215" i="5"/>
  <c r="C98" i="5"/>
  <c r="B98" i="5" s="1"/>
  <c r="C99" i="5"/>
  <c r="B99" i="5" s="1"/>
  <c r="C100" i="5"/>
  <c r="B100" i="5" s="1"/>
  <c r="C101" i="5"/>
  <c r="B101" i="5" s="1"/>
  <c r="C102" i="5"/>
  <c r="B102" i="5" s="1"/>
  <c r="C103" i="5"/>
  <c r="B103" i="5" s="1"/>
  <c r="C104" i="5"/>
  <c r="B104" i="5" s="1"/>
  <c r="C105" i="5"/>
  <c r="B105" i="5" s="1"/>
  <c r="C106" i="5"/>
  <c r="B106" i="5" s="1"/>
  <c r="C107" i="5"/>
  <c r="B107" i="5" s="1"/>
  <c r="C108" i="5"/>
  <c r="B108" i="5" s="1"/>
  <c r="C109" i="5"/>
  <c r="B109" i="5" s="1"/>
  <c r="C110" i="5"/>
  <c r="B110" i="5" s="1"/>
  <c r="C111" i="5"/>
  <c r="B111" i="5" s="1"/>
  <c r="C112" i="5"/>
  <c r="B112" i="5" s="1"/>
  <c r="C113" i="5"/>
  <c r="B113" i="5" s="1"/>
  <c r="C114" i="5"/>
  <c r="B114" i="5" s="1"/>
  <c r="C115" i="5"/>
  <c r="B115" i="5" s="1"/>
  <c r="C116" i="5"/>
  <c r="B116" i="5" s="1"/>
  <c r="C117" i="5"/>
  <c r="B117" i="5" s="1"/>
  <c r="C118" i="5"/>
  <c r="B118" i="5" s="1"/>
  <c r="C119" i="5"/>
  <c r="B119" i="5" s="1"/>
  <c r="C120" i="5"/>
  <c r="B120" i="5" s="1"/>
  <c r="C121" i="5"/>
  <c r="B121" i="5" s="1"/>
  <c r="C122" i="5"/>
  <c r="B122" i="5" s="1"/>
  <c r="C123" i="5"/>
  <c r="B123" i="5" s="1"/>
  <c r="C124" i="5"/>
  <c r="B124" i="5" s="1"/>
  <c r="C125" i="5"/>
  <c r="B125" i="5" s="1"/>
  <c r="C126" i="5"/>
  <c r="B126" i="5" s="1"/>
  <c r="C127" i="5"/>
  <c r="B127" i="5" s="1"/>
  <c r="C128" i="5"/>
  <c r="B128" i="5" s="1"/>
  <c r="C129" i="5"/>
  <c r="B129" i="5" s="1"/>
  <c r="N24" i="1" l="1"/>
  <c r="N23" i="1"/>
  <c r="N22" i="1"/>
  <c r="N21" i="1"/>
  <c r="N20" i="1"/>
  <c r="N19" i="1"/>
  <c r="N18" i="1"/>
  <c r="N17" i="1"/>
  <c r="N16" i="1"/>
  <c r="N15" i="1"/>
  <c r="N14" i="1"/>
  <c r="N13" i="1"/>
  <c r="N12" i="1"/>
  <c r="N88" i="1"/>
  <c r="N89" i="1"/>
  <c r="N90" i="1"/>
  <c r="N91" i="1"/>
  <c r="N92" i="1"/>
  <c r="N93" i="1"/>
  <c r="N94" i="1"/>
  <c r="N95" i="1"/>
  <c r="T87" i="1"/>
  <c r="S87" i="1"/>
  <c r="R87" i="1"/>
  <c r="Q87" i="1"/>
  <c r="P87" i="1"/>
  <c r="O87" i="1"/>
  <c r="L87" i="1"/>
  <c r="K87" i="1"/>
  <c r="J87" i="1"/>
  <c r="I87" i="1"/>
  <c r="H87" i="1"/>
  <c r="G87" i="1"/>
  <c r="E87" i="1"/>
  <c r="D87" i="1"/>
  <c r="C87" i="1"/>
  <c r="B87" i="1"/>
  <c r="T86" i="1"/>
  <c r="S86" i="1"/>
  <c r="R86" i="1"/>
  <c r="Q86" i="1"/>
  <c r="P86" i="1"/>
  <c r="O86" i="1"/>
  <c r="L86" i="1"/>
  <c r="K86" i="1"/>
  <c r="J86" i="1"/>
  <c r="I86" i="1"/>
  <c r="H86" i="1"/>
  <c r="G86" i="1"/>
  <c r="E86" i="1"/>
  <c r="D86" i="1"/>
  <c r="C86" i="1"/>
  <c r="B86" i="1"/>
  <c r="T85" i="1"/>
  <c r="T21" i="1" s="1"/>
  <c r="S85" i="1"/>
  <c r="S21" i="1" s="1"/>
  <c r="R85" i="1"/>
  <c r="R21" i="1" s="1"/>
  <c r="Q85" i="1"/>
  <c r="Q21" i="1" s="1"/>
  <c r="P85" i="1"/>
  <c r="P21" i="1" s="1"/>
  <c r="O85" i="1"/>
  <c r="O21" i="1" s="1"/>
  <c r="L85" i="1"/>
  <c r="L21" i="1" s="1"/>
  <c r="K85" i="1"/>
  <c r="K21" i="1" s="1"/>
  <c r="J85" i="1"/>
  <c r="J21" i="1" s="1"/>
  <c r="I85" i="1"/>
  <c r="I21" i="1" s="1"/>
  <c r="H85" i="1"/>
  <c r="H21" i="1" s="1"/>
  <c r="G85" i="1"/>
  <c r="G21" i="1" s="1"/>
  <c r="E85" i="1"/>
  <c r="E21" i="1" s="1"/>
  <c r="D85" i="1"/>
  <c r="D21" i="1" s="1"/>
  <c r="C85" i="1"/>
  <c r="C21" i="1" s="1"/>
  <c r="B85" i="1"/>
  <c r="B21" i="1" s="1"/>
  <c r="T84" i="1"/>
  <c r="S84" i="1"/>
  <c r="R84" i="1"/>
  <c r="Q84" i="1"/>
  <c r="P84" i="1"/>
  <c r="O84" i="1"/>
  <c r="L84" i="1"/>
  <c r="K84" i="1"/>
  <c r="J84" i="1"/>
  <c r="I84" i="1"/>
  <c r="H84" i="1"/>
  <c r="G84" i="1"/>
  <c r="E84" i="1"/>
  <c r="D84" i="1"/>
  <c r="C84" i="1"/>
  <c r="B84" i="1"/>
  <c r="T83" i="1"/>
  <c r="S83" i="1"/>
  <c r="R83" i="1"/>
  <c r="Q83" i="1"/>
  <c r="P83" i="1"/>
  <c r="O83" i="1"/>
  <c r="L83" i="1"/>
  <c r="K83" i="1"/>
  <c r="J83" i="1"/>
  <c r="I83" i="1"/>
  <c r="H83" i="1"/>
  <c r="G83" i="1"/>
  <c r="E83" i="1"/>
  <c r="D83" i="1"/>
  <c r="C83" i="1"/>
  <c r="B83" i="1"/>
  <c r="T82" i="1"/>
  <c r="S82" i="1"/>
  <c r="R82" i="1"/>
  <c r="Q82" i="1"/>
  <c r="P82" i="1"/>
  <c r="O82" i="1"/>
  <c r="L82" i="1"/>
  <c r="K82" i="1"/>
  <c r="J82" i="1"/>
  <c r="I82" i="1"/>
  <c r="H82" i="1"/>
  <c r="G82" i="1"/>
  <c r="E82" i="1"/>
  <c r="D82" i="1"/>
  <c r="C82" i="1"/>
  <c r="B82" i="1"/>
  <c r="T81" i="1"/>
  <c r="T20" i="1" s="1"/>
  <c r="S81" i="1"/>
  <c r="S20" i="1" s="1"/>
  <c r="R81" i="1"/>
  <c r="R20" i="1" s="1"/>
  <c r="Q81" i="1"/>
  <c r="Q20" i="1" s="1"/>
  <c r="P81" i="1"/>
  <c r="P20" i="1" s="1"/>
  <c r="O81" i="1"/>
  <c r="O20" i="1" s="1"/>
  <c r="L81" i="1"/>
  <c r="L20" i="1" s="1"/>
  <c r="K81" i="1"/>
  <c r="K20" i="1" s="1"/>
  <c r="J81" i="1"/>
  <c r="J20" i="1" s="1"/>
  <c r="I81" i="1"/>
  <c r="I20" i="1" s="1"/>
  <c r="H81" i="1"/>
  <c r="H20" i="1" s="1"/>
  <c r="G81" i="1"/>
  <c r="G20" i="1" s="1"/>
  <c r="E81" i="1"/>
  <c r="E20" i="1" s="1"/>
  <c r="D81" i="1"/>
  <c r="D20" i="1" s="1"/>
  <c r="C81" i="1"/>
  <c r="C20" i="1" s="1"/>
  <c r="B81" i="1"/>
  <c r="B20" i="1" s="1"/>
  <c r="T80" i="1"/>
  <c r="S80" i="1"/>
  <c r="R80" i="1"/>
  <c r="Q80" i="1"/>
  <c r="P80" i="1"/>
  <c r="O80" i="1"/>
  <c r="L80" i="1"/>
  <c r="K80" i="1"/>
  <c r="J80" i="1"/>
  <c r="I80" i="1"/>
  <c r="H80" i="1"/>
  <c r="G80" i="1"/>
  <c r="E80" i="1"/>
  <c r="D80" i="1"/>
  <c r="C80" i="1"/>
  <c r="B80" i="1"/>
  <c r="N80" i="1"/>
  <c r="N81" i="1"/>
  <c r="N82" i="1"/>
  <c r="N83" i="1"/>
  <c r="N84" i="1"/>
  <c r="N85" i="1"/>
  <c r="N86" i="1"/>
  <c r="N87" i="1"/>
  <c r="T79" i="1"/>
  <c r="S79" i="1"/>
  <c r="R79" i="1"/>
  <c r="Q79" i="1"/>
  <c r="P79" i="1"/>
  <c r="O79" i="1"/>
  <c r="L79" i="1"/>
  <c r="K79" i="1"/>
  <c r="J79" i="1"/>
  <c r="I79" i="1"/>
  <c r="H79" i="1"/>
  <c r="G79" i="1"/>
  <c r="E79" i="1"/>
  <c r="D79" i="1"/>
  <c r="C79" i="1"/>
  <c r="B79" i="1"/>
  <c r="T78" i="1"/>
  <c r="S78" i="1"/>
  <c r="R78" i="1"/>
  <c r="Q78" i="1"/>
  <c r="P78" i="1"/>
  <c r="O78" i="1"/>
  <c r="L78" i="1"/>
  <c r="K78" i="1"/>
  <c r="J78" i="1"/>
  <c r="I78" i="1"/>
  <c r="H78" i="1"/>
  <c r="G78" i="1"/>
  <c r="E78" i="1"/>
  <c r="D78" i="1"/>
  <c r="C78" i="1"/>
  <c r="B78" i="1"/>
  <c r="N78" i="1"/>
  <c r="N79" i="1"/>
  <c r="T77" i="1"/>
  <c r="T19" i="1" s="1"/>
  <c r="S77" i="1"/>
  <c r="S19" i="1" s="1"/>
  <c r="R77" i="1"/>
  <c r="R19" i="1" s="1"/>
  <c r="Q77" i="1"/>
  <c r="Q19" i="1" s="1"/>
  <c r="P77" i="1"/>
  <c r="P19" i="1" s="1"/>
  <c r="O77" i="1"/>
  <c r="O19" i="1" s="1"/>
  <c r="L77" i="1"/>
  <c r="L19" i="1" s="1"/>
  <c r="K77" i="1"/>
  <c r="K19" i="1" s="1"/>
  <c r="J77" i="1"/>
  <c r="J19" i="1" s="1"/>
  <c r="I77" i="1"/>
  <c r="I19" i="1" s="1"/>
  <c r="H77" i="1"/>
  <c r="H19" i="1" s="1"/>
  <c r="G77" i="1"/>
  <c r="G19" i="1" s="1"/>
  <c r="E77" i="1"/>
  <c r="E19" i="1" s="1"/>
  <c r="D77" i="1"/>
  <c r="D19" i="1" s="1"/>
  <c r="C77" i="1"/>
  <c r="C19" i="1" s="1"/>
  <c r="B77" i="1"/>
  <c r="B19" i="1" s="1"/>
  <c r="T76" i="1"/>
  <c r="S76" i="1"/>
  <c r="R76" i="1"/>
  <c r="Q76" i="1"/>
  <c r="P76" i="1"/>
  <c r="O76" i="1"/>
  <c r="L76" i="1"/>
  <c r="K76" i="1"/>
  <c r="J76" i="1"/>
  <c r="I76" i="1"/>
  <c r="H76" i="1"/>
  <c r="G76" i="1"/>
  <c r="E76" i="1"/>
  <c r="D76" i="1"/>
  <c r="C76" i="1"/>
  <c r="B76" i="1"/>
  <c r="T75" i="1"/>
  <c r="S75" i="1"/>
  <c r="R75" i="1"/>
  <c r="Q75" i="1"/>
  <c r="P75" i="1"/>
  <c r="O75" i="1"/>
  <c r="L75" i="1"/>
  <c r="K75" i="1"/>
  <c r="J75" i="1"/>
  <c r="I75" i="1"/>
  <c r="H75" i="1"/>
  <c r="G75" i="1"/>
  <c r="E75" i="1"/>
  <c r="D75" i="1"/>
  <c r="C75" i="1"/>
  <c r="B75" i="1"/>
  <c r="T74" i="1"/>
  <c r="S74" i="1"/>
  <c r="R74" i="1"/>
  <c r="Q74" i="1"/>
  <c r="P74" i="1"/>
  <c r="O74" i="1"/>
  <c r="L74" i="1"/>
  <c r="K74" i="1"/>
  <c r="J74" i="1"/>
  <c r="I74" i="1"/>
  <c r="H74" i="1"/>
  <c r="G74" i="1"/>
  <c r="E74" i="1"/>
  <c r="D74" i="1"/>
  <c r="C74" i="1"/>
  <c r="B74" i="1"/>
  <c r="T73" i="1"/>
  <c r="T18" i="1" s="1"/>
  <c r="S73" i="1"/>
  <c r="S18" i="1" s="1"/>
  <c r="R73" i="1"/>
  <c r="R18" i="1" s="1"/>
  <c r="Q73" i="1"/>
  <c r="Q18" i="1" s="1"/>
  <c r="P73" i="1"/>
  <c r="P18" i="1" s="1"/>
  <c r="O73" i="1"/>
  <c r="O18" i="1" s="1"/>
  <c r="L73" i="1"/>
  <c r="L18" i="1" s="1"/>
  <c r="K73" i="1"/>
  <c r="K18" i="1" s="1"/>
  <c r="J73" i="1"/>
  <c r="J18" i="1" s="1"/>
  <c r="I73" i="1"/>
  <c r="I18" i="1" s="1"/>
  <c r="H73" i="1"/>
  <c r="H18" i="1" s="1"/>
  <c r="G73" i="1"/>
  <c r="G18" i="1" s="1"/>
  <c r="E73" i="1"/>
  <c r="E18" i="1" s="1"/>
  <c r="D73" i="1"/>
  <c r="D18" i="1" s="1"/>
  <c r="C73" i="1"/>
  <c r="C18" i="1" s="1"/>
  <c r="B73" i="1"/>
  <c r="B18" i="1" s="1"/>
  <c r="T72" i="1"/>
  <c r="S72" i="1"/>
  <c r="R72" i="1"/>
  <c r="Q72" i="1"/>
  <c r="P72" i="1"/>
  <c r="O72" i="1"/>
  <c r="L72" i="1"/>
  <c r="K72" i="1"/>
  <c r="J72" i="1"/>
  <c r="I72" i="1"/>
  <c r="H72" i="1"/>
  <c r="G72" i="1"/>
  <c r="E72" i="1"/>
  <c r="D72" i="1"/>
  <c r="C72" i="1"/>
  <c r="B72" i="1"/>
  <c r="T71" i="1"/>
  <c r="S71" i="1"/>
  <c r="R71" i="1"/>
  <c r="Q71" i="1"/>
  <c r="P71" i="1"/>
  <c r="O71" i="1"/>
  <c r="L71" i="1"/>
  <c r="K71" i="1"/>
  <c r="J71" i="1"/>
  <c r="I71" i="1"/>
  <c r="H71" i="1"/>
  <c r="G71" i="1"/>
  <c r="E71" i="1"/>
  <c r="D71" i="1"/>
  <c r="C71" i="1"/>
  <c r="B71" i="1"/>
  <c r="T70" i="1"/>
  <c r="S70" i="1"/>
  <c r="R70" i="1"/>
  <c r="Q70" i="1"/>
  <c r="P70" i="1"/>
  <c r="O70" i="1"/>
  <c r="L70" i="1"/>
  <c r="K70" i="1"/>
  <c r="J70" i="1"/>
  <c r="I70" i="1"/>
  <c r="H70" i="1"/>
  <c r="G70" i="1"/>
  <c r="E70" i="1"/>
  <c r="D70" i="1"/>
  <c r="C70" i="1"/>
  <c r="B70" i="1"/>
  <c r="T69" i="1"/>
  <c r="T17" i="1" s="1"/>
  <c r="S69" i="1"/>
  <c r="S17" i="1" s="1"/>
  <c r="R69" i="1"/>
  <c r="R17" i="1" s="1"/>
  <c r="Q69" i="1"/>
  <c r="Q17" i="1" s="1"/>
  <c r="P69" i="1"/>
  <c r="P17" i="1" s="1"/>
  <c r="O69" i="1"/>
  <c r="O17" i="1" s="1"/>
  <c r="L69" i="1"/>
  <c r="L17" i="1" s="1"/>
  <c r="K69" i="1"/>
  <c r="K17" i="1" s="1"/>
  <c r="J69" i="1"/>
  <c r="J17" i="1" s="1"/>
  <c r="I69" i="1"/>
  <c r="I17" i="1" s="1"/>
  <c r="H69" i="1"/>
  <c r="H17" i="1" s="1"/>
  <c r="G69" i="1"/>
  <c r="G17" i="1" s="1"/>
  <c r="E69" i="1"/>
  <c r="E17" i="1" s="1"/>
  <c r="D69" i="1"/>
  <c r="D17" i="1" s="1"/>
  <c r="C69" i="1"/>
  <c r="C17" i="1" s="1"/>
  <c r="B69" i="1"/>
  <c r="B17" i="1" s="1"/>
  <c r="T68" i="1"/>
  <c r="S68" i="1"/>
  <c r="R68" i="1"/>
  <c r="Q68" i="1"/>
  <c r="P68" i="1"/>
  <c r="O68" i="1"/>
  <c r="L68" i="1"/>
  <c r="K68" i="1"/>
  <c r="J68" i="1"/>
  <c r="I68" i="1"/>
  <c r="H68" i="1"/>
  <c r="G68" i="1"/>
  <c r="E68" i="1"/>
  <c r="D68" i="1"/>
  <c r="C68" i="1"/>
  <c r="B68" i="1"/>
  <c r="N68" i="1"/>
  <c r="N69" i="1"/>
  <c r="N70" i="1"/>
  <c r="N71" i="1"/>
  <c r="N72" i="1"/>
  <c r="N73" i="1"/>
  <c r="N74" i="1"/>
  <c r="N75" i="1"/>
  <c r="N76" i="1"/>
  <c r="N77" i="1"/>
  <c r="T67" i="1"/>
  <c r="S67" i="1"/>
  <c r="R67" i="1"/>
  <c r="Q67" i="1"/>
  <c r="P67" i="1"/>
  <c r="O67" i="1"/>
  <c r="L67" i="1"/>
  <c r="K67" i="1"/>
  <c r="J67" i="1"/>
  <c r="I67" i="1"/>
  <c r="H67" i="1"/>
  <c r="G67" i="1"/>
  <c r="E67" i="1"/>
  <c r="D67" i="1"/>
  <c r="C67" i="1"/>
  <c r="B67" i="1"/>
  <c r="T66" i="1"/>
  <c r="S66" i="1"/>
  <c r="R66" i="1"/>
  <c r="Q66" i="1"/>
  <c r="P66" i="1"/>
  <c r="O66" i="1"/>
  <c r="L66" i="1"/>
  <c r="K66" i="1"/>
  <c r="J66" i="1"/>
  <c r="I66" i="1"/>
  <c r="H66" i="1"/>
  <c r="G66" i="1"/>
  <c r="E66" i="1"/>
  <c r="D66" i="1"/>
  <c r="C66" i="1"/>
  <c r="B66" i="1"/>
  <c r="T65" i="1"/>
  <c r="T16" i="1" s="1"/>
  <c r="S65" i="1"/>
  <c r="S16" i="1" s="1"/>
  <c r="R65" i="1"/>
  <c r="R16" i="1" s="1"/>
  <c r="Q65" i="1"/>
  <c r="Q16" i="1" s="1"/>
  <c r="P65" i="1"/>
  <c r="P16" i="1" s="1"/>
  <c r="O65" i="1"/>
  <c r="O16" i="1" s="1"/>
  <c r="L65" i="1"/>
  <c r="L16" i="1" s="1"/>
  <c r="K65" i="1"/>
  <c r="K16" i="1" s="1"/>
  <c r="J65" i="1"/>
  <c r="J16" i="1" s="1"/>
  <c r="I65" i="1"/>
  <c r="I16" i="1" s="1"/>
  <c r="H65" i="1"/>
  <c r="H16" i="1" s="1"/>
  <c r="G65" i="1"/>
  <c r="G16" i="1" s="1"/>
  <c r="E65" i="1"/>
  <c r="E16" i="1" s="1"/>
  <c r="D65" i="1"/>
  <c r="D16" i="1" s="1"/>
  <c r="C65" i="1"/>
  <c r="C16" i="1" s="1"/>
  <c r="B65" i="1"/>
  <c r="B16" i="1" s="1"/>
  <c r="T64" i="1"/>
  <c r="S64" i="1"/>
  <c r="R64" i="1"/>
  <c r="Q64" i="1"/>
  <c r="P64" i="1"/>
  <c r="O64" i="1"/>
  <c r="L64" i="1"/>
  <c r="K64" i="1"/>
  <c r="J64" i="1"/>
  <c r="I64" i="1"/>
  <c r="H64" i="1"/>
  <c r="G64" i="1"/>
  <c r="E64" i="1"/>
  <c r="D64" i="1"/>
  <c r="C64" i="1"/>
  <c r="B64" i="1"/>
  <c r="N64" i="1"/>
  <c r="N65" i="1"/>
  <c r="N66" i="1"/>
  <c r="N67" i="1"/>
  <c r="T63" i="1"/>
  <c r="S63" i="1"/>
  <c r="R63" i="1"/>
  <c r="Q63" i="1"/>
  <c r="P63" i="1"/>
  <c r="O63" i="1"/>
  <c r="L63" i="1"/>
  <c r="K63" i="1"/>
  <c r="J63" i="1"/>
  <c r="I63" i="1"/>
  <c r="H63" i="1"/>
  <c r="G63" i="1"/>
  <c r="E63" i="1"/>
  <c r="D63" i="1"/>
  <c r="C63" i="1"/>
  <c r="B63" i="1"/>
  <c r="T62" i="1"/>
  <c r="S62" i="1"/>
  <c r="R62" i="1"/>
  <c r="Q62" i="1"/>
  <c r="P62" i="1"/>
  <c r="O62" i="1"/>
  <c r="L62" i="1"/>
  <c r="K62" i="1"/>
  <c r="J62" i="1"/>
  <c r="I62" i="1"/>
  <c r="H62" i="1"/>
  <c r="G62" i="1"/>
  <c r="E62" i="1"/>
  <c r="D62" i="1"/>
  <c r="C62" i="1"/>
  <c r="B62" i="1"/>
  <c r="T61" i="1"/>
  <c r="T15" i="1" s="1"/>
  <c r="S61" i="1"/>
  <c r="S15" i="1" s="1"/>
  <c r="R61" i="1"/>
  <c r="R15" i="1" s="1"/>
  <c r="Q61" i="1"/>
  <c r="Q15" i="1" s="1"/>
  <c r="P61" i="1"/>
  <c r="P15" i="1" s="1"/>
  <c r="O61" i="1"/>
  <c r="O15" i="1" s="1"/>
  <c r="L61" i="1"/>
  <c r="L15" i="1" s="1"/>
  <c r="K61" i="1"/>
  <c r="K15" i="1" s="1"/>
  <c r="J61" i="1"/>
  <c r="J15" i="1" s="1"/>
  <c r="I61" i="1"/>
  <c r="I15" i="1" s="1"/>
  <c r="H61" i="1"/>
  <c r="H15" i="1" s="1"/>
  <c r="G61" i="1"/>
  <c r="G15" i="1" s="1"/>
  <c r="E61" i="1"/>
  <c r="E15" i="1" s="1"/>
  <c r="D61" i="1"/>
  <c r="D15" i="1" s="1"/>
  <c r="C61" i="1"/>
  <c r="C15" i="1" s="1"/>
  <c r="B61" i="1"/>
  <c r="B15" i="1" s="1"/>
  <c r="T60" i="1"/>
  <c r="S60" i="1"/>
  <c r="R60" i="1"/>
  <c r="Q60" i="1"/>
  <c r="P60" i="1"/>
  <c r="O60" i="1"/>
  <c r="L60" i="1"/>
  <c r="K60" i="1"/>
  <c r="J60" i="1"/>
  <c r="I60" i="1"/>
  <c r="H60" i="1"/>
  <c r="G60" i="1"/>
  <c r="E60" i="1"/>
  <c r="D60" i="1"/>
  <c r="C60" i="1"/>
  <c r="B60" i="1"/>
  <c r="N60" i="1"/>
  <c r="N61" i="1"/>
  <c r="N62" i="1"/>
  <c r="N63" i="1"/>
  <c r="T59" i="1"/>
  <c r="S59" i="1"/>
  <c r="R59" i="1"/>
  <c r="Q59" i="1"/>
  <c r="P59" i="1"/>
  <c r="O59" i="1"/>
  <c r="L59" i="1"/>
  <c r="K59" i="1"/>
  <c r="J59" i="1"/>
  <c r="I59" i="1"/>
  <c r="H59" i="1"/>
  <c r="G59" i="1"/>
  <c r="E59" i="1"/>
  <c r="D59" i="1"/>
  <c r="C59" i="1"/>
  <c r="B59" i="1"/>
  <c r="T58" i="1"/>
  <c r="S58" i="1"/>
  <c r="R58" i="1"/>
  <c r="Q58" i="1"/>
  <c r="P58" i="1"/>
  <c r="O58" i="1"/>
  <c r="L58" i="1"/>
  <c r="K58" i="1"/>
  <c r="J58" i="1"/>
  <c r="I58" i="1"/>
  <c r="H58" i="1"/>
  <c r="G58" i="1"/>
  <c r="E58" i="1"/>
  <c r="D58" i="1"/>
  <c r="C58" i="1"/>
  <c r="B58" i="1"/>
  <c r="T57" i="1"/>
  <c r="T14" i="1" s="1"/>
  <c r="S57" i="1"/>
  <c r="S14" i="1" s="1"/>
  <c r="R57" i="1"/>
  <c r="R14" i="1" s="1"/>
  <c r="Q57" i="1"/>
  <c r="Q14" i="1" s="1"/>
  <c r="P57" i="1"/>
  <c r="P14" i="1" s="1"/>
  <c r="O57" i="1"/>
  <c r="O14" i="1" s="1"/>
  <c r="L57" i="1"/>
  <c r="L14" i="1" s="1"/>
  <c r="K57" i="1"/>
  <c r="K14" i="1" s="1"/>
  <c r="J57" i="1"/>
  <c r="J14" i="1" s="1"/>
  <c r="I57" i="1"/>
  <c r="I14" i="1" s="1"/>
  <c r="H57" i="1"/>
  <c r="H14" i="1" s="1"/>
  <c r="G57" i="1"/>
  <c r="G14" i="1" s="1"/>
  <c r="E57" i="1"/>
  <c r="E14" i="1" s="1"/>
  <c r="D57" i="1"/>
  <c r="D14" i="1" s="1"/>
  <c r="C57" i="1"/>
  <c r="C14" i="1" s="1"/>
  <c r="B57" i="1"/>
  <c r="B14" i="1" s="1"/>
  <c r="T56" i="1"/>
  <c r="S56" i="1"/>
  <c r="R56" i="1"/>
  <c r="Q56" i="1"/>
  <c r="P56" i="1"/>
  <c r="O56" i="1"/>
  <c r="L56" i="1"/>
  <c r="K56" i="1"/>
  <c r="J56" i="1"/>
  <c r="I56" i="1"/>
  <c r="H56" i="1"/>
  <c r="G56" i="1"/>
  <c r="E56" i="1"/>
  <c r="D56" i="1"/>
  <c r="C56" i="1"/>
  <c r="B56" i="1"/>
  <c r="N56" i="1"/>
  <c r="N57" i="1"/>
  <c r="N58" i="1"/>
  <c r="N59" i="1"/>
  <c r="T55" i="1"/>
  <c r="S55" i="1"/>
  <c r="R55" i="1"/>
  <c r="Q55" i="1"/>
  <c r="P55" i="1"/>
  <c r="O55" i="1"/>
  <c r="L55" i="1"/>
  <c r="K55" i="1"/>
  <c r="J55" i="1"/>
  <c r="I55" i="1"/>
  <c r="H55" i="1"/>
  <c r="G55" i="1"/>
  <c r="E55" i="1"/>
  <c r="D55" i="1"/>
  <c r="C55" i="1"/>
  <c r="B55" i="1"/>
  <c r="T54" i="1"/>
  <c r="S54" i="1"/>
  <c r="R54" i="1"/>
  <c r="Q54" i="1"/>
  <c r="P54" i="1"/>
  <c r="O54" i="1"/>
  <c r="L54" i="1"/>
  <c r="K54" i="1"/>
  <c r="J54" i="1"/>
  <c r="I54" i="1"/>
  <c r="H54" i="1"/>
  <c r="G54" i="1"/>
  <c r="E54" i="1"/>
  <c r="D54" i="1"/>
  <c r="C54" i="1"/>
  <c r="B54" i="1"/>
  <c r="T53" i="1"/>
  <c r="T13" i="1" s="1"/>
  <c r="S53" i="1"/>
  <c r="S13" i="1" s="1"/>
  <c r="R53" i="1"/>
  <c r="R13" i="1" s="1"/>
  <c r="Q53" i="1"/>
  <c r="Q13" i="1" s="1"/>
  <c r="P53" i="1"/>
  <c r="P13" i="1" s="1"/>
  <c r="O53" i="1"/>
  <c r="O13" i="1" s="1"/>
  <c r="L53" i="1"/>
  <c r="L13" i="1" s="1"/>
  <c r="K53" i="1"/>
  <c r="K13" i="1" s="1"/>
  <c r="J53" i="1"/>
  <c r="J13" i="1" s="1"/>
  <c r="I53" i="1"/>
  <c r="I13" i="1" s="1"/>
  <c r="H53" i="1"/>
  <c r="H13" i="1" s="1"/>
  <c r="G53" i="1"/>
  <c r="G13" i="1" s="1"/>
  <c r="E53" i="1"/>
  <c r="E13" i="1" s="1"/>
  <c r="D53" i="1"/>
  <c r="D13" i="1" s="1"/>
  <c r="C53" i="1"/>
  <c r="C13" i="1" s="1"/>
  <c r="B53" i="1"/>
  <c r="B13" i="1" s="1"/>
  <c r="T52" i="1"/>
  <c r="S52" i="1"/>
  <c r="R52" i="1"/>
  <c r="Q52" i="1"/>
  <c r="P52" i="1"/>
  <c r="O52" i="1"/>
  <c r="L52" i="1"/>
  <c r="K52" i="1"/>
  <c r="J52" i="1"/>
  <c r="I52" i="1"/>
  <c r="H52" i="1"/>
  <c r="G52" i="1"/>
  <c r="E52" i="1"/>
  <c r="D52" i="1"/>
  <c r="C52" i="1"/>
  <c r="B52" i="1"/>
  <c r="N52" i="1"/>
  <c r="N53" i="1"/>
  <c r="N54" i="1"/>
  <c r="N55" i="1"/>
  <c r="T51" i="1"/>
  <c r="S51" i="1"/>
  <c r="R51" i="1"/>
  <c r="Q51" i="1"/>
  <c r="P51" i="1"/>
  <c r="O51" i="1"/>
  <c r="L51" i="1"/>
  <c r="K51" i="1"/>
  <c r="J51" i="1"/>
  <c r="I51" i="1"/>
  <c r="H51" i="1"/>
  <c r="G51" i="1"/>
  <c r="E51" i="1"/>
  <c r="D51" i="1"/>
  <c r="C51" i="1"/>
  <c r="B51" i="1"/>
  <c r="T50" i="1"/>
  <c r="S50" i="1"/>
  <c r="R50" i="1"/>
  <c r="Q50" i="1"/>
  <c r="P50" i="1"/>
  <c r="O50" i="1"/>
  <c r="L50" i="1"/>
  <c r="K50" i="1"/>
  <c r="J50" i="1"/>
  <c r="I50" i="1"/>
  <c r="H50" i="1"/>
  <c r="G50" i="1"/>
  <c r="E50" i="1"/>
  <c r="D50" i="1"/>
  <c r="C50" i="1"/>
  <c r="B50" i="1"/>
  <c r="T49" i="1"/>
  <c r="T12" i="1" s="1"/>
  <c r="S49" i="1"/>
  <c r="S12" i="1" s="1"/>
  <c r="R49" i="1"/>
  <c r="R12" i="1" s="1"/>
  <c r="Q49" i="1"/>
  <c r="Q12" i="1" s="1"/>
  <c r="P49" i="1"/>
  <c r="P12" i="1" s="1"/>
  <c r="O49" i="1"/>
  <c r="O12" i="1" s="1"/>
  <c r="L49" i="1"/>
  <c r="L12" i="1" s="1"/>
  <c r="K49" i="1"/>
  <c r="K12" i="1" s="1"/>
  <c r="J49" i="1"/>
  <c r="J12" i="1" s="1"/>
  <c r="I49" i="1"/>
  <c r="I12" i="1" s="1"/>
  <c r="H49" i="1"/>
  <c r="H12" i="1" s="1"/>
  <c r="G49" i="1"/>
  <c r="G12" i="1" s="1"/>
  <c r="E49" i="1"/>
  <c r="E12" i="1" s="1"/>
  <c r="D49" i="1"/>
  <c r="D12" i="1" s="1"/>
  <c r="C49" i="1"/>
  <c r="C12" i="1" s="1"/>
  <c r="B49" i="1"/>
  <c r="B12" i="1" s="1"/>
  <c r="T48" i="1"/>
  <c r="S48" i="1"/>
  <c r="R48" i="1"/>
  <c r="Q48" i="1"/>
  <c r="P48" i="1"/>
  <c r="O48" i="1"/>
  <c r="L48" i="1"/>
  <c r="K48" i="1"/>
  <c r="J48" i="1"/>
  <c r="I48" i="1"/>
  <c r="H48" i="1"/>
  <c r="G48" i="1"/>
  <c r="E48" i="1"/>
  <c r="D48" i="1"/>
  <c r="C48" i="1"/>
  <c r="B48" i="1"/>
  <c r="N49" i="1"/>
  <c r="N50" i="1"/>
  <c r="N51" i="1"/>
  <c r="N48" i="1"/>
  <c r="N96" i="1"/>
  <c r="N97" i="1"/>
  <c r="N98" i="1"/>
  <c r="N99" i="1"/>
  <c r="N100" i="1"/>
  <c r="N101" i="1"/>
  <c r="N102" i="1"/>
  <c r="N103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04" i="1"/>
  <c r="U16" i="1" l="1"/>
  <c r="U14" i="1"/>
  <c r="U17" i="1"/>
  <c r="U19" i="1"/>
  <c r="U12" i="1"/>
  <c r="U21" i="1"/>
  <c r="U18" i="1"/>
  <c r="U13" i="1"/>
  <c r="U15" i="1"/>
  <c r="U20" i="1"/>
  <c r="U85" i="1"/>
  <c r="U86" i="1"/>
  <c r="U78" i="1"/>
  <c r="U67" i="1"/>
  <c r="U84" i="1"/>
  <c r="U80" i="1"/>
  <c r="U81" i="1"/>
  <c r="U82" i="1"/>
  <c r="U83" i="1"/>
  <c r="U87" i="1"/>
  <c r="U68" i="1"/>
  <c r="U69" i="1"/>
  <c r="U70" i="1"/>
  <c r="U71" i="1"/>
  <c r="U74" i="1"/>
  <c r="U75" i="1"/>
  <c r="U76" i="1"/>
  <c r="U77" i="1"/>
  <c r="U79" i="1"/>
  <c r="U60" i="1"/>
  <c r="U61" i="1"/>
  <c r="U62" i="1"/>
  <c r="U63" i="1"/>
  <c r="U72" i="1"/>
  <c r="U73" i="1"/>
  <c r="U65" i="1"/>
  <c r="U64" i="1"/>
  <c r="U66" i="1"/>
  <c r="U56" i="1"/>
  <c r="U57" i="1"/>
  <c r="U58" i="1"/>
  <c r="U59" i="1"/>
  <c r="U53" i="1"/>
  <c r="U52" i="1"/>
  <c r="U54" i="1"/>
  <c r="U55" i="1"/>
  <c r="U48" i="1"/>
  <c r="U49" i="1"/>
  <c r="U50" i="1"/>
  <c r="U51" i="1"/>
  <c r="C355" i="5" l="1"/>
  <c r="I354" i="5"/>
  <c r="I215" i="5" s="1"/>
  <c r="H354" i="5"/>
  <c r="H215" i="5" s="1"/>
  <c r="G354" i="5"/>
  <c r="G215" i="5" s="1"/>
  <c r="F354" i="5"/>
  <c r="F215" i="5" s="1"/>
  <c r="D354" i="5"/>
  <c r="I353" i="5"/>
  <c r="H353" i="5"/>
  <c r="G353" i="5"/>
  <c r="F353" i="5"/>
  <c r="J352" i="5"/>
  <c r="I352" i="5"/>
  <c r="H352" i="5"/>
  <c r="G352" i="5"/>
  <c r="F352" i="5"/>
  <c r="E352" i="5"/>
  <c r="D352" i="5"/>
  <c r="J351" i="5"/>
  <c r="I351" i="5"/>
  <c r="H351" i="5"/>
  <c r="G351" i="5"/>
  <c r="F351" i="5"/>
  <c r="E351" i="5"/>
  <c r="D351" i="5"/>
  <c r="J183" i="5"/>
  <c r="J44" i="5" s="1"/>
  <c r="I183" i="5"/>
  <c r="I44" i="5" s="1"/>
  <c r="H183" i="5"/>
  <c r="H44" i="5" s="1"/>
  <c r="G183" i="5"/>
  <c r="G44" i="5" s="1"/>
  <c r="F183" i="5"/>
  <c r="F44" i="5" s="1"/>
  <c r="E183" i="5"/>
  <c r="E44" i="5" s="1"/>
  <c r="J182" i="5"/>
  <c r="I182" i="5"/>
  <c r="H182" i="5"/>
  <c r="G182" i="5"/>
  <c r="F182" i="5"/>
  <c r="E182" i="5"/>
  <c r="J181" i="5"/>
  <c r="I181" i="5"/>
  <c r="H181" i="5"/>
  <c r="G181" i="5"/>
  <c r="F181" i="5"/>
  <c r="E181" i="5"/>
  <c r="D181" i="5"/>
  <c r="C184" i="5"/>
  <c r="I180" i="5"/>
  <c r="H180" i="5"/>
  <c r="G180" i="5"/>
  <c r="F180" i="5"/>
  <c r="E180" i="5"/>
  <c r="D180" i="5"/>
  <c r="J180" i="5"/>
  <c r="B184" i="5" l="1"/>
  <c r="C354" i="5"/>
  <c r="C215" i="5" s="1"/>
  <c r="D215" i="5"/>
  <c r="C353" i="5"/>
  <c r="C351" i="5"/>
  <c r="C182" i="5"/>
  <c r="C180" i="5"/>
  <c r="C183" i="5"/>
  <c r="C352" i="5"/>
  <c r="C181" i="5"/>
  <c r="B181" i="5" l="1"/>
  <c r="B182" i="5"/>
  <c r="B180" i="5"/>
  <c r="C44" i="5"/>
  <c r="B183" i="5"/>
  <c r="B44" i="5" s="1"/>
  <c r="J179" i="5" l="1"/>
  <c r="I179" i="5"/>
  <c r="H179" i="5"/>
  <c r="G179" i="5"/>
  <c r="F179" i="5"/>
  <c r="E179" i="5"/>
  <c r="I350" i="5"/>
  <c r="I214" i="5" s="1"/>
  <c r="H350" i="5"/>
  <c r="H214" i="5" s="1"/>
  <c r="G350" i="5"/>
  <c r="G214" i="5" s="1"/>
  <c r="F350" i="5"/>
  <c r="F214" i="5" s="1"/>
  <c r="E350" i="5"/>
  <c r="E214" i="5" s="1"/>
  <c r="C350" i="5" l="1"/>
  <c r="C214" i="5" s="1"/>
  <c r="J43" i="5"/>
  <c r="I43" i="5"/>
  <c r="H43" i="5"/>
  <c r="G43" i="5"/>
  <c r="F43" i="5"/>
  <c r="E43" i="5"/>
  <c r="D43" i="5"/>
  <c r="C179" i="5"/>
  <c r="N32" i="1"/>
  <c r="B179" i="5" l="1"/>
  <c r="B43" i="5"/>
  <c r="C43" i="5"/>
  <c r="J213" i="5" l="1"/>
  <c r="I213" i="5"/>
  <c r="H213" i="5"/>
  <c r="G213" i="5"/>
  <c r="F213" i="5"/>
  <c r="E213" i="5"/>
  <c r="D213" i="5"/>
  <c r="J212" i="5"/>
  <c r="I212" i="5"/>
  <c r="H212" i="5"/>
  <c r="G212" i="5"/>
  <c r="F212" i="5"/>
  <c r="E212" i="5"/>
  <c r="D212" i="5"/>
  <c r="J211" i="5"/>
  <c r="I211" i="5"/>
  <c r="H211" i="5"/>
  <c r="G211" i="5"/>
  <c r="F211" i="5"/>
  <c r="E211" i="5"/>
  <c r="D211" i="5"/>
  <c r="J210" i="5"/>
  <c r="I210" i="5"/>
  <c r="H210" i="5"/>
  <c r="G210" i="5"/>
  <c r="F210" i="5"/>
  <c r="E210" i="5"/>
  <c r="D210" i="5"/>
  <c r="C210" i="5"/>
  <c r="J207" i="5"/>
  <c r="J42" i="5"/>
  <c r="I42" i="5"/>
  <c r="H42" i="5"/>
  <c r="G42" i="5"/>
  <c r="F42" i="5"/>
  <c r="E42" i="5"/>
  <c r="D42" i="5"/>
  <c r="J41" i="5"/>
  <c r="I41" i="5"/>
  <c r="H41" i="5"/>
  <c r="G41" i="5"/>
  <c r="F41" i="5"/>
  <c r="E41" i="5"/>
  <c r="D41" i="5"/>
  <c r="J40" i="5"/>
  <c r="I40" i="5"/>
  <c r="H40" i="5"/>
  <c r="G40" i="5"/>
  <c r="F40" i="5"/>
  <c r="E40" i="5"/>
  <c r="D40" i="5"/>
  <c r="J39" i="5"/>
  <c r="I39" i="5"/>
  <c r="H39" i="5"/>
  <c r="G39" i="5"/>
  <c r="F39" i="5"/>
  <c r="E39" i="5"/>
  <c r="D39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78" i="5"/>
  <c r="C348" i="5"/>
  <c r="C347" i="5"/>
  <c r="C346" i="5"/>
  <c r="C213" i="5" s="1"/>
  <c r="C345" i="5"/>
  <c r="C344" i="5"/>
  <c r="C343" i="5"/>
  <c r="C342" i="5"/>
  <c r="C212" i="5" s="1"/>
  <c r="C341" i="5"/>
  <c r="C340" i="5"/>
  <c r="B169" i="5" s="1"/>
  <c r="C339" i="5"/>
  <c r="C338" i="5"/>
  <c r="C337" i="5"/>
  <c r="C349" i="5"/>
  <c r="B177" i="5" l="1"/>
  <c r="B175" i="5"/>
  <c r="B42" i="5" s="1"/>
  <c r="B178" i="5"/>
  <c r="B174" i="5"/>
  <c r="B176" i="5"/>
  <c r="C40" i="5"/>
  <c r="B173" i="5"/>
  <c r="B172" i="5"/>
  <c r="B170" i="5"/>
  <c r="C41" i="5"/>
  <c r="B171" i="5"/>
  <c r="B41" i="5" s="1"/>
  <c r="B166" i="5"/>
  <c r="B167" i="5"/>
  <c r="B168" i="5"/>
  <c r="B40" i="5"/>
  <c r="C211" i="5"/>
  <c r="C42" i="5"/>
  <c r="C165" i="5" l="1"/>
  <c r="B165" i="5" s="1"/>
  <c r="C164" i="5"/>
  <c r="B164" i="5" s="1"/>
  <c r="C163" i="5"/>
  <c r="B163" i="5" s="1"/>
  <c r="D32" i="5"/>
  <c r="E32" i="5"/>
  <c r="F32" i="5"/>
  <c r="G32" i="5"/>
  <c r="H32" i="5"/>
  <c r="I32" i="5"/>
  <c r="J32" i="5"/>
  <c r="D33" i="5"/>
  <c r="E33" i="5"/>
  <c r="F33" i="5"/>
  <c r="G33" i="5"/>
  <c r="H33" i="5"/>
  <c r="I33" i="5"/>
  <c r="J33" i="5"/>
  <c r="D34" i="5"/>
  <c r="E34" i="5"/>
  <c r="F34" i="5"/>
  <c r="G34" i="5"/>
  <c r="H34" i="5"/>
  <c r="I34" i="5"/>
  <c r="J34" i="5"/>
  <c r="D35" i="5"/>
  <c r="E35" i="5"/>
  <c r="F35" i="5"/>
  <c r="G35" i="5"/>
  <c r="H35" i="5"/>
  <c r="I35" i="5"/>
  <c r="J35" i="5"/>
  <c r="D36" i="5"/>
  <c r="E36" i="5"/>
  <c r="F36" i="5"/>
  <c r="G36" i="5"/>
  <c r="H36" i="5"/>
  <c r="I36" i="5"/>
  <c r="J36" i="5"/>
  <c r="D37" i="5"/>
  <c r="D38" i="5"/>
  <c r="E38" i="5"/>
  <c r="F38" i="5"/>
  <c r="G38" i="5"/>
  <c r="H38" i="5"/>
  <c r="I38" i="5"/>
  <c r="J38" i="5"/>
  <c r="C130" i="5"/>
  <c r="B130" i="5" s="1"/>
  <c r="C131" i="5"/>
  <c r="B131" i="5" s="1"/>
  <c r="C132" i="5"/>
  <c r="C133" i="5"/>
  <c r="C134" i="5"/>
  <c r="C135" i="5"/>
  <c r="C136" i="5"/>
  <c r="B136" i="5" s="1"/>
  <c r="C137" i="5"/>
  <c r="B137" i="5" s="1"/>
  <c r="C138" i="5"/>
  <c r="B138" i="5" s="1"/>
  <c r="C139" i="5"/>
  <c r="C140" i="5"/>
  <c r="B140" i="5" s="1"/>
  <c r="C141" i="5"/>
  <c r="B141" i="5" s="1"/>
  <c r="C142" i="5"/>
  <c r="B142" i="5" s="1"/>
  <c r="C143" i="5"/>
  <c r="B143" i="5" s="1"/>
  <c r="C144" i="5"/>
  <c r="B144" i="5" s="1"/>
  <c r="C145" i="5"/>
  <c r="B145" i="5" s="1"/>
  <c r="C146" i="5"/>
  <c r="B146" i="5" s="1"/>
  <c r="C147" i="5"/>
  <c r="C148" i="5"/>
  <c r="C149" i="5"/>
  <c r="C150" i="5"/>
  <c r="C151" i="5"/>
  <c r="E152" i="5"/>
  <c r="F152" i="5"/>
  <c r="G152" i="5"/>
  <c r="H152" i="5"/>
  <c r="I152" i="5"/>
  <c r="J152" i="5"/>
  <c r="E153" i="5"/>
  <c r="F153" i="5"/>
  <c r="G153" i="5"/>
  <c r="H153" i="5"/>
  <c r="I153" i="5"/>
  <c r="J153" i="5"/>
  <c r="E154" i="5"/>
  <c r="F154" i="5"/>
  <c r="G154" i="5"/>
  <c r="H154" i="5"/>
  <c r="I154" i="5"/>
  <c r="J154" i="5"/>
  <c r="E155" i="5"/>
  <c r="E37" i="5" s="1"/>
  <c r="F155" i="5"/>
  <c r="F37" i="5" s="1"/>
  <c r="G155" i="5"/>
  <c r="G37" i="5" s="1"/>
  <c r="H155" i="5"/>
  <c r="H37" i="5" s="1"/>
  <c r="I155" i="5"/>
  <c r="I37" i="5" s="1"/>
  <c r="J155" i="5"/>
  <c r="J37" i="5" s="1"/>
  <c r="C156" i="5"/>
  <c r="B156" i="5" s="1"/>
  <c r="C157" i="5"/>
  <c r="B157" i="5" s="1"/>
  <c r="C158" i="5"/>
  <c r="B158" i="5" s="1"/>
  <c r="C159" i="5"/>
  <c r="C160" i="5"/>
  <c r="C161" i="5"/>
  <c r="C162" i="5"/>
  <c r="B162" i="5" s="1"/>
  <c r="D203" i="5"/>
  <c r="E203" i="5"/>
  <c r="F203" i="5"/>
  <c r="G203" i="5"/>
  <c r="H203" i="5"/>
  <c r="I203" i="5"/>
  <c r="D204" i="5"/>
  <c r="E204" i="5"/>
  <c r="F204" i="5"/>
  <c r="G204" i="5"/>
  <c r="H204" i="5"/>
  <c r="I204" i="5"/>
  <c r="D205" i="5"/>
  <c r="E205" i="5"/>
  <c r="F205" i="5"/>
  <c r="G205" i="5"/>
  <c r="H205" i="5"/>
  <c r="I205" i="5"/>
  <c r="D206" i="5"/>
  <c r="E206" i="5"/>
  <c r="F206" i="5"/>
  <c r="G206" i="5"/>
  <c r="H206" i="5"/>
  <c r="I206" i="5"/>
  <c r="D207" i="5"/>
  <c r="E207" i="5"/>
  <c r="F207" i="5"/>
  <c r="G207" i="5"/>
  <c r="H207" i="5"/>
  <c r="I207" i="5"/>
  <c r="D208" i="5"/>
  <c r="E208" i="5"/>
  <c r="J208" i="5"/>
  <c r="D209" i="5"/>
  <c r="E209" i="5"/>
  <c r="F209" i="5"/>
  <c r="G209" i="5"/>
  <c r="H209" i="5"/>
  <c r="I209" i="5"/>
  <c r="J209" i="5"/>
  <c r="C301" i="5"/>
  <c r="C302" i="5"/>
  <c r="C303" i="5"/>
  <c r="C304" i="5"/>
  <c r="C305" i="5"/>
  <c r="C306" i="5"/>
  <c r="C203" i="5" s="1"/>
  <c r="C307" i="5"/>
  <c r="C308" i="5"/>
  <c r="C309" i="5"/>
  <c r="C310" i="5"/>
  <c r="C204" i="5" s="1"/>
  <c r="C311" i="5"/>
  <c r="C312" i="5"/>
  <c r="C313" i="5"/>
  <c r="C314" i="5"/>
  <c r="C205" i="5" s="1"/>
  <c r="C315" i="5"/>
  <c r="C316" i="5"/>
  <c r="C317" i="5"/>
  <c r="C318" i="5"/>
  <c r="C206" i="5" s="1"/>
  <c r="C319" i="5"/>
  <c r="C320" i="5"/>
  <c r="C321" i="5"/>
  <c r="C322" i="5"/>
  <c r="C207" i="5" s="1"/>
  <c r="F323" i="5"/>
  <c r="G323" i="5"/>
  <c r="H323" i="5"/>
  <c r="I323" i="5"/>
  <c r="F324" i="5"/>
  <c r="G324" i="5"/>
  <c r="H324" i="5"/>
  <c r="I324" i="5"/>
  <c r="F325" i="5"/>
  <c r="G325" i="5"/>
  <c r="H325" i="5"/>
  <c r="I325" i="5"/>
  <c r="F326" i="5"/>
  <c r="G326" i="5"/>
  <c r="G208" i="5" s="1"/>
  <c r="H326" i="5"/>
  <c r="H208" i="5" s="1"/>
  <c r="I326" i="5"/>
  <c r="I208" i="5" s="1"/>
  <c r="C327" i="5"/>
  <c r="C328" i="5"/>
  <c r="C329" i="5"/>
  <c r="C330" i="5"/>
  <c r="C209" i="5" s="1"/>
  <c r="C331" i="5"/>
  <c r="C332" i="5"/>
  <c r="B150" i="5" l="1"/>
  <c r="B134" i="5"/>
  <c r="B161" i="5"/>
  <c r="B149" i="5"/>
  <c r="B133" i="5"/>
  <c r="B160" i="5"/>
  <c r="B148" i="5"/>
  <c r="B132" i="5"/>
  <c r="C38" i="5"/>
  <c r="B159" i="5"/>
  <c r="B38" i="5" s="1"/>
  <c r="C35" i="5"/>
  <c r="B147" i="5"/>
  <c r="B35" i="5" s="1"/>
  <c r="C36" i="5"/>
  <c r="B151" i="5"/>
  <c r="B36" i="5" s="1"/>
  <c r="C33" i="5"/>
  <c r="B139" i="5"/>
  <c r="B33" i="5" s="1"/>
  <c r="C32" i="5"/>
  <c r="B135" i="5"/>
  <c r="B39" i="5"/>
  <c r="C39" i="5"/>
  <c r="C326" i="5"/>
  <c r="C208" i="5" s="1"/>
  <c r="C325" i="5"/>
  <c r="C323" i="5"/>
  <c r="C154" i="5"/>
  <c r="B154" i="5" s="1"/>
  <c r="C152" i="5"/>
  <c r="B152" i="5" s="1"/>
  <c r="C324" i="5"/>
  <c r="C153" i="5"/>
  <c r="B153" i="5" s="1"/>
  <c r="B34" i="5"/>
  <c r="C34" i="5"/>
  <c r="F208" i="5"/>
  <c r="B32" i="5"/>
  <c r="C155" i="5"/>
  <c r="B155" i="5" l="1"/>
  <c r="B37" i="5"/>
  <c r="C37" i="5"/>
  <c r="Q138" i="1" l="1"/>
  <c r="Q137" i="1"/>
  <c r="Q34" i="1" s="1"/>
  <c r="Q136" i="1"/>
  <c r="Q134" i="1"/>
  <c r="Q133" i="1"/>
  <c r="Q33" i="1" s="1"/>
  <c r="Q129" i="1"/>
  <c r="Q32" i="1" s="1"/>
  <c r="Q128" i="1"/>
  <c r="Q127" i="1"/>
  <c r="Q124" i="1"/>
  <c r="Q31" i="1" l="1"/>
  <c r="Q125" i="1"/>
  <c r="D138" i="1"/>
  <c r="D137" i="1"/>
  <c r="D34" i="1" s="1"/>
  <c r="D136" i="1"/>
  <c r="D135" i="1"/>
  <c r="D134" i="1"/>
  <c r="D132" i="1"/>
  <c r="D128" i="1"/>
  <c r="Q131" i="1"/>
  <c r="D130" i="1"/>
  <c r="D129" i="1"/>
  <c r="D32" i="1" s="1"/>
  <c r="D126" i="1"/>
  <c r="Q139" i="1" l="1"/>
  <c r="Q135" i="1"/>
  <c r="Q130" i="1"/>
  <c r="Q132" i="1"/>
  <c r="D139" i="1"/>
  <c r="S139" i="1"/>
  <c r="T139" i="1"/>
  <c r="I139" i="1"/>
  <c r="J139" i="1"/>
  <c r="K139" i="1"/>
  <c r="K138" i="1"/>
  <c r="S138" i="1"/>
  <c r="I138" i="1"/>
  <c r="J138" i="1"/>
  <c r="T138" i="1"/>
  <c r="K137" i="1"/>
  <c r="K34" i="1" s="1"/>
  <c r="I137" i="1"/>
  <c r="I34" i="1" s="1"/>
  <c r="J137" i="1"/>
  <c r="J34" i="1" s="1"/>
  <c r="S137" i="1"/>
  <c r="S34" i="1" s="1"/>
  <c r="T137" i="1"/>
  <c r="T34" i="1" s="1"/>
  <c r="J136" i="1"/>
  <c r="T136" i="1"/>
  <c r="S136" i="1"/>
  <c r="I136" i="1"/>
  <c r="K136" i="1"/>
  <c r="J135" i="1"/>
  <c r="S135" i="1"/>
  <c r="K135" i="1"/>
  <c r="I135" i="1"/>
  <c r="T135" i="1"/>
  <c r="J133" i="1"/>
  <c r="J33" i="1" s="1"/>
  <c r="J134" i="1"/>
  <c r="D133" i="1"/>
  <c r="D33" i="1" s="1"/>
  <c r="I134" i="1"/>
  <c r="K134" i="1"/>
  <c r="S134" i="1"/>
  <c r="T134" i="1"/>
  <c r="T133" i="1"/>
  <c r="T33" i="1" s="1"/>
  <c r="I133" i="1"/>
  <c r="I33" i="1" s="1"/>
  <c r="S133" i="1"/>
  <c r="S33" i="1" s="1"/>
  <c r="K133" i="1"/>
  <c r="K33" i="1" s="1"/>
  <c r="K128" i="1"/>
  <c r="J131" i="1"/>
  <c r="J127" i="1"/>
  <c r="J132" i="1"/>
  <c r="S132" i="1"/>
  <c r="K132" i="1"/>
  <c r="I132" i="1"/>
  <c r="K124" i="1"/>
  <c r="T132" i="1"/>
  <c r="T131" i="1"/>
  <c r="K130" i="1"/>
  <c r="I131" i="1"/>
  <c r="S131" i="1"/>
  <c r="I130" i="1"/>
  <c r="T130" i="1"/>
  <c r="T128" i="1"/>
  <c r="J130" i="1"/>
  <c r="I126" i="1"/>
  <c r="T127" i="1"/>
  <c r="S129" i="1"/>
  <c r="S32" i="1" s="1"/>
  <c r="S130" i="1"/>
  <c r="K127" i="1"/>
  <c r="T126" i="1"/>
  <c r="S128" i="1"/>
  <c r="I128" i="1"/>
  <c r="I129" i="1"/>
  <c r="I32" i="1" s="1"/>
  <c r="J126" i="1"/>
  <c r="J128" i="1"/>
  <c r="J129" i="1"/>
  <c r="J32" i="1" s="1"/>
  <c r="J124" i="1"/>
  <c r="K129" i="1"/>
  <c r="K32" i="1" s="1"/>
  <c r="I127" i="1"/>
  <c r="T129" i="1"/>
  <c r="T32" i="1" s="1"/>
  <c r="S124" i="1"/>
  <c r="S127" i="1"/>
  <c r="S126" i="1"/>
  <c r="K126" i="1"/>
  <c r="R126" i="1"/>
  <c r="T124" i="1"/>
  <c r="D124" i="1"/>
  <c r="I124" i="1"/>
  <c r="I31" i="1" l="1"/>
  <c r="I125" i="1"/>
  <c r="J31" i="1"/>
  <c r="J125" i="1"/>
  <c r="D131" i="1"/>
  <c r="K31" i="1"/>
  <c r="K125" i="1"/>
  <c r="P132" i="1"/>
  <c r="R132" i="1"/>
  <c r="D125" i="1"/>
  <c r="D31" i="1"/>
  <c r="T31" i="1"/>
  <c r="T125" i="1"/>
  <c r="S31" i="1"/>
  <c r="S125" i="1"/>
  <c r="Q126" i="1"/>
  <c r="H126" i="1"/>
  <c r="E130" i="1"/>
  <c r="E127" i="1"/>
  <c r="E135" i="1"/>
  <c r="E139" i="1"/>
  <c r="E131" i="1"/>
  <c r="E134" i="1"/>
  <c r="E129" i="1"/>
  <c r="E32" i="1" s="1"/>
  <c r="C135" i="1"/>
  <c r="E133" i="1"/>
  <c r="E33" i="1" s="1"/>
  <c r="E136" i="1"/>
  <c r="H138" i="1"/>
  <c r="P126" i="1"/>
  <c r="E126" i="1"/>
  <c r="E128" i="1"/>
  <c r="E132" i="1"/>
  <c r="E124" i="1"/>
  <c r="E137" i="1"/>
  <c r="E34" i="1" s="1"/>
  <c r="R139" i="1"/>
  <c r="L138" i="1"/>
  <c r="R138" i="1"/>
  <c r="L137" i="1"/>
  <c r="L34" i="1" s="1"/>
  <c r="R137" i="1"/>
  <c r="R34" i="1" s="1"/>
  <c r="R136" i="1"/>
  <c r="L136" i="1"/>
  <c r="R135" i="1"/>
  <c r="L135" i="1"/>
  <c r="R133" i="1"/>
  <c r="R33" i="1" s="1"/>
  <c r="L131" i="1"/>
  <c r="L130" i="1"/>
  <c r="R130" i="1"/>
  <c r="R129" i="1"/>
  <c r="R32" i="1" s="1"/>
  <c r="R127" i="1"/>
  <c r="L127" i="1"/>
  <c r="R124" i="1"/>
  <c r="L124" i="1"/>
  <c r="C138" i="1" l="1"/>
  <c r="E138" i="1"/>
  <c r="R131" i="1"/>
  <c r="K131" i="1"/>
  <c r="L31" i="1"/>
  <c r="L125" i="1"/>
  <c r="C126" i="1"/>
  <c r="C132" i="1"/>
  <c r="P130" i="1"/>
  <c r="C137" i="1"/>
  <c r="C34" i="1" s="1"/>
  <c r="P124" i="1"/>
  <c r="C134" i="1"/>
  <c r="P138" i="1"/>
  <c r="H129" i="1"/>
  <c r="H32" i="1" s="1"/>
  <c r="H131" i="1"/>
  <c r="P136" i="1"/>
  <c r="C139" i="1"/>
  <c r="C124" i="1"/>
  <c r="C128" i="1"/>
  <c r="P129" i="1"/>
  <c r="P32" i="1" s="1"/>
  <c r="P131" i="1"/>
  <c r="C136" i="1"/>
  <c r="P127" i="1"/>
  <c r="C129" i="1"/>
  <c r="C32" i="1" s="1"/>
  <c r="C130" i="1"/>
  <c r="P139" i="1"/>
  <c r="P133" i="1"/>
  <c r="P33" i="1" s="1"/>
  <c r="H134" i="1"/>
  <c r="P135" i="1"/>
  <c r="P137" i="1"/>
  <c r="P34" i="1" s="1"/>
  <c r="L134" i="1"/>
  <c r="R134" i="1"/>
  <c r="L133" i="1"/>
  <c r="L33" i="1" s="1"/>
  <c r="L132" i="1"/>
  <c r="R128" i="1"/>
  <c r="D127" i="1"/>
  <c r="E31" i="1" l="1"/>
  <c r="E125" i="1"/>
  <c r="L129" i="1"/>
  <c r="L32" i="1" s="1"/>
  <c r="C133" i="1"/>
  <c r="C33" i="1" s="1"/>
  <c r="O132" i="1"/>
  <c r="B132" i="1"/>
  <c r="R31" i="1"/>
  <c r="R125" i="1"/>
  <c r="C131" i="1"/>
  <c r="B126" i="1"/>
  <c r="O126" i="1"/>
  <c r="P134" i="1"/>
  <c r="H127" i="1"/>
  <c r="H136" i="1"/>
  <c r="H139" i="1"/>
  <c r="H133" i="1"/>
  <c r="H33" i="1" s="1"/>
  <c r="H124" i="1"/>
  <c r="G126" i="1"/>
  <c r="G138" i="1"/>
  <c r="H132" i="1"/>
  <c r="O139" i="1" l="1"/>
  <c r="B139" i="1"/>
  <c r="O127" i="1"/>
  <c r="B127" i="1"/>
  <c r="H137" i="1"/>
  <c r="H34" i="1" s="1"/>
  <c r="P125" i="1"/>
  <c r="P31" i="1"/>
  <c r="H128" i="1"/>
  <c r="B137" i="1"/>
  <c r="B34" i="1" s="1"/>
  <c r="O137" i="1"/>
  <c r="O131" i="1"/>
  <c r="B131" i="1"/>
  <c r="B124" i="1"/>
  <c r="O124" i="1"/>
  <c r="H130" i="1"/>
  <c r="B130" i="1"/>
  <c r="O130" i="1"/>
  <c r="B138" i="1"/>
  <c r="O138" i="1"/>
  <c r="U138" i="1" s="1"/>
  <c r="C127" i="1"/>
  <c r="P128" i="1"/>
  <c r="H31" i="1"/>
  <c r="H125" i="1"/>
  <c r="C125" i="1"/>
  <c r="C31" i="1"/>
  <c r="O136" i="1"/>
  <c r="B136" i="1"/>
  <c r="O133" i="1"/>
  <c r="B133" i="1"/>
  <c r="B33" i="1" s="1"/>
  <c r="B135" i="1"/>
  <c r="O135" i="1"/>
  <c r="U126" i="1"/>
  <c r="O129" i="1"/>
  <c r="B129" i="1"/>
  <c r="B32" i="1" s="1"/>
  <c r="H135" i="1"/>
  <c r="G131" i="1"/>
  <c r="G134" i="1"/>
  <c r="G129" i="1"/>
  <c r="G32" i="1" s="1"/>
  <c r="U131" i="1" l="1"/>
  <c r="O125" i="1"/>
  <c r="O31" i="1"/>
  <c r="B125" i="1"/>
  <c r="B31" i="1"/>
  <c r="O34" i="1"/>
  <c r="B134" i="1"/>
  <c r="O134" i="1"/>
  <c r="U134" i="1" s="1"/>
  <c r="B128" i="1"/>
  <c r="O128" i="1"/>
  <c r="O32" i="1"/>
  <c r="U32" i="1" s="1"/>
  <c r="U129" i="1"/>
  <c r="O33" i="1"/>
  <c r="G132" i="1"/>
  <c r="U132" i="1" s="1"/>
  <c r="G139" i="1"/>
  <c r="U139" i="1" s="1"/>
  <c r="G127" i="1"/>
  <c r="U127" i="1" s="1"/>
  <c r="G124" i="1"/>
  <c r="U124" i="1" s="1"/>
  <c r="G128" i="1"/>
  <c r="G136" i="1"/>
  <c r="U136" i="1" s="1"/>
  <c r="G137" i="1"/>
  <c r="G34" i="1" s="1"/>
  <c r="U128" i="1" l="1"/>
  <c r="G31" i="1"/>
  <c r="G125" i="1"/>
  <c r="G130" i="1"/>
  <c r="U130" i="1" s="1"/>
  <c r="U137" i="1"/>
  <c r="G133" i="1"/>
  <c r="U34" i="1"/>
  <c r="U31" i="1"/>
  <c r="U125" i="1"/>
  <c r="G33" i="1" l="1"/>
  <c r="U33" i="1" s="1"/>
  <c r="U133" i="1"/>
  <c r="G135" i="1"/>
  <c r="U135" i="1" s="1"/>
  <c r="Q122" i="1" l="1"/>
  <c r="Q120" i="1"/>
  <c r="Q119" i="1"/>
  <c r="Q118" i="1"/>
  <c r="Q115" i="1"/>
  <c r="Q117" i="1" l="1"/>
  <c r="Q29" i="1"/>
  <c r="Q123" i="1"/>
  <c r="D122" i="1"/>
  <c r="D119" i="1"/>
  <c r="D118" i="1"/>
  <c r="D116" i="1"/>
  <c r="Q116" i="1"/>
  <c r="D115" i="1"/>
  <c r="Q121" i="1" l="1"/>
  <c r="Q30" i="1"/>
  <c r="E115" i="1"/>
  <c r="S118" i="1"/>
  <c r="J120" i="1"/>
  <c r="T122" i="1"/>
  <c r="S120" i="1"/>
  <c r="J123" i="1"/>
  <c r="J122" i="1"/>
  <c r="I122" i="1"/>
  <c r="I123" i="1"/>
  <c r="S123" i="1"/>
  <c r="S122" i="1"/>
  <c r="K119" i="1"/>
  <c r="T123" i="1"/>
  <c r="D123" i="1"/>
  <c r="K123" i="1"/>
  <c r="K122" i="1"/>
  <c r="I120" i="1"/>
  <c r="T120" i="1"/>
  <c r="S119" i="1"/>
  <c r="K120" i="1"/>
  <c r="D120" i="1"/>
  <c r="J119" i="1"/>
  <c r="J118" i="1"/>
  <c r="T118" i="1"/>
  <c r="I119" i="1"/>
  <c r="T119" i="1"/>
  <c r="K118" i="1"/>
  <c r="I118" i="1"/>
  <c r="J116" i="1"/>
  <c r="K116" i="1"/>
  <c r="I116" i="1"/>
  <c r="S116" i="1"/>
  <c r="T116" i="1"/>
  <c r="K115" i="1"/>
  <c r="S115" i="1"/>
  <c r="I115" i="1"/>
  <c r="T115" i="1"/>
  <c r="J115" i="1"/>
  <c r="S121" i="1" l="1"/>
  <c r="S30" i="1"/>
  <c r="I29" i="1"/>
  <c r="I117" i="1"/>
  <c r="T121" i="1"/>
  <c r="T30" i="1"/>
  <c r="J29" i="1"/>
  <c r="J117" i="1"/>
  <c r="K30" i="1"/>
  <c r="K121" i="1"/>
  <c r="D121" i="1"/>
  <c r="D30" i="1"/>
  <c r="K29" i="1"/>
  <c r="K117" i="1"/>
  <c r="S117" i="1"/>
  <c r="S29" i="1"/>
  <c r="D117" i="1"/>
  <c r="D29" i="1"/>
  <c r="T29" i="1"/>
  <c r="T117" i="1"/>
  <c r="J30" i="1"/>
  <c r="J121" i="1"/>
  <c r="I30" i="1"/>
  <c r="I121" i="1"/>
  <c r="E119" i="1"/>
  <c r="E118" i="1"/>
  <c r="E120" i="1"/>
  <c r="E116" i="1"/>
  <c r="E122" i="1"/>
  <c r="E123" i="1"/>
  <c r="L123" i="1"/>
  <c r="R123" i="1"/>
  <c r="L122" i="1"/>
  <c r="L118" i="1"/>
  <c r="R116" i="1"/>
  <c r="L116" i="1"/>
  <c r="L115" i="1"/>
  <c r="R115" i="1"/>
  <c r="E117" i="1" l="1"/>
  <c r="E29" i="1"/>
  <c r="L121" i="1"/>
  <c r="L30" i="1"/>
  <c r="L29" i="1"/>
  <c r="L117" i="1"/>
  <c r="E30" i="1"/>
  <c r="E121" i="1"/>
  <c r="R121" i="1"/>
  <c r="R30" i="1"/>
  <c r="R117" i="1"/>
  <c r="R29" i="1"/>
  <c r="C122" i="1"/>
  <c r="H116" i="1"/>
  <c r="P115" i="1"/>
  <c r="C116" i="1"/>
  <c r="C120" i="1"/>
  <c r="C115" i="1"/>
  <c r="H115" i="1"/>
  <c r="C118" i="1"/>
  <c r="P123" i="1"/>
  <c r="C123" i="1"/>
  <c r="P116" i="1"/>
  <c r="C119" i="1"/>
  <c r="R120" i="1"/>
  <c r="L120" i="1"/>
  <c r="L119" i="1"/>
  <c r="R118" i="1"/>
  <c r="P117" i="1" l="1"/>
  <c r="P29" i="1"/>
  <c r="R119" i="1"/>
  <c r="R122" i="1"/>
  <c r="C121" i="1"/>
  <c r="C30" i="1"/>
  <c r="P30" i="1"/>
  <c r="P121" i="1"/>
  <c r="C29" i="1"/>
  <c r="C117" i="1"/>
  <c r="P118" i="1"/>
  <c r="H122" i="1"/>
  <c r="P120" i="1"/>
  <c r="H119" i="1"/>
  <c r="H120" i="1"/>
  <c r="P119" i="1"/>
  <c r="P122" i="1"/>
  <c r="B121" i="1" l="1"/>
  <c r="O30" i="1"/>
  <c r="O121" i="1"/>
  <c r="B30" i="1"/>
  <c r="O29" i="1"/>
  <c r="O117" i="1"/>
  <c r="B117" i="1"/>
  <c r="B29" i="1"/>
  <c r="O123" i="1"/>
  <c r="B123" i="1"/>
  <c r="H30" i="1"/>
  <c r="H121" i="1"/>
  <c r="O115" i="1"/>
  <c r="B115" i="1"/>
  <c r="B116" i="1"/>
  <c r="O116" i="1"/>
  <c r="G116" i="1"/>
  <c r="O119" i="1" l="1"/>
  <c r="B119" i="1"/>
  <c r="O122" i="1"/>
  <c r="B122" i="1"/>
  <c r="U116" i="1"/>
  <c r="H118" i="1"/>
  <c r="H123" i="1"/>
  <c r="B118" i="1"/>
  <c r="O118" i="1"/>
  <c r="G115" i="1"/>
  <c r="U115" i="1" s="1"/>
  <c r="H117" i="1"/>
  <c r="H29" i="1"/>
  <c r="O120" i="1"/>
  <c r="B120" i="1"/>
  <c r="G119" i="1"/>
  <c r="G122" i="1"/>
  <c r="G120" i="1"/>
  <c r="U120" i="1" l="1"/>
  <c r="U122" i="1"/>
  <c r="G30" i="1"/>
  <c r="U30" i="1" s="1"/>
  <c r="G121" i="1"/>
  <c r="U121" i="1" s="1"/>
  <c r="U119" i="1"/>
  <c r="G117" i="1" l="1"/>
  <c r="U117" i="1" s="1"/>
  <c r="G29" i="1"/>
  <c r="U29" i="1" s="1"/>
  <c r="G123" i="1"/>
  <c r="U123" i="1" s="1"/>
  <c r="G118" i="1"/>
  <c r="U118" i="1" s="1"/>
  <c r="Q114" i="1" l="1"/>
  <c r="S114" i="1" l="1"/>
  <c r="T114" i="1" l="1"/>
  <c r="E114" i="1"/>
  <c r="J114" i="1"/>
  <c r="I114" i="1"/>
  <c r="R114" i="1"/>
  <c r="P114" i="1" l="1"/>
  <c r="L114" i="1"/>
  <c r="D114" i="1"/>
  <c r="K114" i="1"/>
  <c r="C114" i="1" l="1"/>
  <c r="B114" i="1" l="1"/>
  <c r="O114" i="1"/>
  <c r="H114" i="1"/>
  <c r="G114" i="1" l="1"/>
  <c r="U114" i="1" s="1"/>
  <c r="Q108" i="1" l="1"/>
  <c r="Q104" i="1"/>
  <c r="Q103" i="1"/>
  <c r="Q102" i="1"/>
  <c r="Q28" i="1" l="1"/>
  <c r="Q113" i="1"/>
  <c r="Q101" i="1"/>
  <c r="Q25" i="1"/>
  <c r="Q96" i="1"/>
  <c r="Q100" i="1"/>
  <c r="D112" i="1"/>
  <c r="S111" i="1"/>
  <c r="D111" i="1"/>
  <c r="Q110" i="1"/>
  <c r="D108" i="1"/>
  <c r="D107" i="1"/>
  <c r="D106" i="1"/>
  <c r="D104" i="1"/>
  <c r="D103" i="1"/>
  <c r="D27" i="1" l="1"/>
  <c r="D109" i="1"/>
  <c r="D25" i="1"/>
  <c r="D101" i="1"/>
  <c r="D26" i="1"/>
  <c r="D105" i="1"/>
  <c r="D28" i="1"/>
  <c r="D113" i="1"/>
  <c r="Q26" i="1"/>
  <c r="Q105" i="1"/>
  <c r="Q107" i="1"/>
  <c r="Q111" i="1"/>
  <c r="Q106" i="1"/>
  <c r="Q99" i="1"/>
  <c r="Q97" i="1"/>
  <c r="Q24" i="1" s="1"/>
  <c r="D100" i="1"/>
  <c r="S107" i="1"/>
  <c r="J111" i="1"/>
  <c r="J110" i="1"/>
  <c r="J112" i="1"/>
  <c r="T112" i="1"/>
  <c r="S112" i="1"/>
  <c r="K108" i="1"/>
  <c r="I112" i="1"/>
  <c r="I111" i="1"/>
  <c r="K112" i="1"/>
  <c r="R112" i="1"/>
  <c r="Q112" i="1"/>
  <c r="T110" i="1"/>
  <c r="T111" i="1"/>
  <c r="K110" i="1"/>
  <c r="I110" i="1"/>
  <c r="T108" i="1"/>
  <c r="D110" i="1"/>
  <c r="J108" i="1"/>
  <c r="S108" i="1"/>
  <c r="I108" i="1"/>
  <c r="I107" i="1"/>
  <c r="J107" i="1"/>
  <c r="T107" i="1"/>
  <c r="J106" i="1"/>
  <c r="S106" i="1"/>
  <c r="I106" i="1"/>
  <c r="K106" i="1"/>
  <c r="T106" i="1"/>
  <c r="J102" i="1"/>
  <c r="J103" i="1"/>
  <c r="J104" i="1"/>
  <c r="S104" i="1"/>
  <c r="I102" i="1"/>
  <c r="I104" i="1"/>
  <c r="I103" i="1"/>
  <c r="T102" i="1"/>
  <c r="S103" i="1"/>
  <c r="T104" i="1"/>
  <c r="K103" i="1"/>
  <c r="T103" i="1"/>
  <c r="S102" i="1"/>
  <c r="K102" i="1"/>
  <c r="S25" i="1" l="1"/>
  <c r="S101" i="1"/>
  <c r="S105" i="1"/>
  <c r="S26" i="1"/>
  <c r="R109" i="1"/>
  <c r="R27" i="1"/>
  <c r="J25" i="1"/>
  <c r="J101" i="1"/>
  <c r="J28" i="1"/>
  <c r="J113" i="1"/>
  <c r="Q109" i="1"/>
  <c r="Q27" i="1"/>
  <c r="T109" i="1"/>
  <c r="T27" i="1"/>
  <c r="S28" i="1"/>
  <c r="S113" i="1"/>
  <c r="K26" i="1"/>
  <c r="K105" i="1"/>
  <c r="T26" i="1"/>
  <c r="T105" i="1"/>
  <c r="S110" i="1"/>
  <c r="J109" i="1"/>
  <c r="J27" i="1"/>
  <c r="T28" i="1"/>
  <c r="T113" i="1"/>
  <c r="S27" i="1"/>
  <c r="S109" i="1"/>
  <c r="I101" i="1"/>
  <c r="I25" i="1"/>
  <c r="J26" i="1"/>
  <c r="J105" i="1"/>
  <c r="I28" i="1"/>
  <c r="I113" i="1"/>
  <c r="I109" i="1"/>
  <c r="I27" i="1"/>
  <c r="K101" i="1"/>
  <c r="K25" i="1"/>
  <c r="T101" i="1"/>
  <c r="T25" i="1"/>
  <c r="I105" i="1"/>
  <c r="I26" i="1"/>
  <c r="E106" i="1"/>
  <c r="R98" i="1"/>
  <c r="D96" i="1"/>
  <c r="S99" i="1"/>
  <c r="E108" i="1"/>
  <c r="I100" i="1"/>
  <c r="E103" i="1"/>
  <c r="J99" i="1"/>
  <c r="E104" i="1"/>
  <c r="I99" i="1"/>
  <c r="H106" i="1"/>
  <c r="P112" i="1"/>
  <c r="K100" i="1"/>
  <c r="E111" i="1"/>
  <c r="E112" i="1"/>
  <c r="Q98" i="1"/>
  <c r="E102" i="1"/>
  <c r="S100" i="1"/>
  <c r="T96" i="1"/>
  <c r="T99" i="1"/>
  <c r="E107" i="1"/>
  <c r="L112" i="1"/>
  <c r="L107" i="1"/>
  <c r="L111" i="1"/>
  <c r="R110" i="1"/>
  <c r="R107" i="1"/>
  <c r="R106" i="1"/>
  <c r="L106" i="1"/>
  <c r="L103" i="1"/>
  <c r="K104" i="1"/>
  <c r="R104" i="1"/>
  <c r="L104" i="1"/>
  <c r="R102" i="1"/>
  <c r="L102" i="1"/>
  <c r="E101" i="1" l="1"/>
  <c r="E25" i="1"/>
  <c r="R111" i="1"/>
  <c r="E109" i="1"/>
  <c r="E27" i="1"/>
  <c r="L27" i="1"/>
  <c r="L109" i="1"/>
  <c r="E26" i="1"/>
  <c r="E105" i="1"/>
  <c r="K113" i="1"/>
  <c r="K28" i="1"/>
  <c r="J100" i="1"/>
  <c r="L25" i="1"/>
  <c r="L101" i="1"/>
  <c r="T100" i="1"/>
  <c r="R28" i="1"/>
  <c r="R113" i="1"/>
  <c r="P99" i="1"/>
  <c r="R99" i="1"/>
  <c r="R105" i="1"/>
  <c r="R26" i="1"/>
  <c r="L113" i="1"/>
  <c r="L28" i="1"/>
  <c r="E28" i="1"/>
  <c r="E113" i="1"/>
  <c r="C110" i="1"/>
  <c r="E110" i="1"/>
  <c r="K109" i="1"/>
  <c r="K27" i="1"/>
  <c r="P27" i="1"/>
  <c r="P109" i="1"/>
  <c r="T97" i="1"/>
  <c r="T24" i="1" s="1"/>
  <c r="T98" i="1"/>
  <c r="C104" i="1"/>
  <c r="P110" i="1"/>
  <c r="D99" i="1"/>
  <c r="D97" i="1"/>
  <c r="D24" i="1" s="1"/>
  <c r="J97" i="1"/>
  <c r="J24" i="1" s="1"/>
  <c r="L99" i="1"/>
  <c r="P98" i="1"/>
  <c r="C108" i="1"/>
  <c r="R96" i="1"/>
  <c r="C106" i="1"/>
  <c r="C111" i="1"/>
  <c r="D98" i="1"/>
  <c r="R100" i="1"/>
  <c r="C112" i="1"/>
  <c r="I98" i="1"/>
  <c r="P102" i="1"/>
  <c r="S98" i="1"/>
  <c r="C107" i="1"/>
  <c r="H99" i="1"/>
  <c r="C103" i="1"/>
  <c r="P104" i="1"/>
  <c r="P111" i="1"/>
  <c r="H111" i="1"/>
  <c r="E99" i="1"/>
  <c r="P106" i="1"/>
  <c r="P107" i="1"/>
  <c r="L110" i="1"/>
  <c r="K111" i="1"/>
  <c r="L108" i="1"/>
  <c r="R108" i="1"/>
  <c r="K107" i="1"/>
  <c r="D102" i="1"/>
  <c r="L26" i="1" l="1"/>
  <c r="L105" i="1"/>
  <c r="C109" i="1"/>
  <c r="C27" i="1"/>
  <c r="B27" i="1"/>
  <c r="O27" i="1"/>
  <c r="B109" i="1"/>
  <c r="O109" i="1"/>
  <c r="S97" i="1"/>
  <c r="S24" i="1" s="1"/>
  <c r="K99" i="1"/>
  <c r="H26" i="1"/>
  <c r="H105" i="1"/>
  <c r="O112" i="1"/>
  <c r="B112" i="1"/>
  <c r="P28" i="1"/>
  <c r="P113" i="1"/>
  <c r="R103" i="1"/>
  <c r="C101" i="1"/>
  <c r="C25" i="1"/>
  <c r="E100" i="1"/>
  <c r="S96" i="1"/>
  <c r="C105" i="1"/>
  <c r="C26" i="1"/>
  <c r="P26" i="1"/>
  <c r="P105" i="1"/>
  <c r="R101" i="1"/>
  <c r="R25" i="1"/>
  <c r="H27" i="1"/>
  <c r="H109" i="1"/>
  <c r="C28" i="1"/>
  <c r="C113" i="1"/>
  <c r="J98" i="1"/>
  <c r="H104" i="1"/>
  <c r="L100" i="1"/>
  <c r="H103" i="1"/>
  <c r="K97" i="1"/>
  <c r="K24" i="1" s="1"/>
  <c r="K98" i="1"/>
  <c r="I96" i="1"/>
  <c r="K96" i="1"/>
  <c r="C102" i="1"/>
  <c r="H108" i="1"/>
  <c r="E97" i="1"/>
  <c r="E24" i="1" s="1"/>
  <c r="E96" i="1"/>
  <c r="P103" i="1"/>
  <c r="H107" i="1"/>
  <c r="H102" i="1"/>
  <c r="P108" i="1"/>
  <c r="C97" i="1"/>
  <c r="C24" i="1" s="1"/>
  <c r="P100" i="1"/>
  <c r="P96" i="1"/>
  <c r="C100" i="1"/>
  <c r="G106" i="1"/>
  <c r="C99" i="1" l="1"/>
  <c r="H25" i="1"/>
  <c r="H101" i="1"/>
  <c r="O106" i="1"/>
  <c r="U106" i="1" s="1"/>
  <c r="B106" i="1"/>
  <c r="B99" i="1"/>
  <c r="O99" i="1"/>
  <c r="R97" i="1"/>
  <c r="R24" i="1" s="1"/>
  <c r="B107" i="1"/>
  <c r="O107" i="1"/>
  <c r="O104" i="1"/>
  <c r="B104" i="1"/>
  <c r="O98" i="1"/>
  <c r="B98" i="1"/>
  <c r="C98" i="1"/>
  <c r="E98" i="1"/>
  <c r="O113" i="1"/>
  <c r="O28" i="1"/>
  <c r="B28" i="1"/>
  <c r="B113" i="1"/>
  <c r="J96" i="1"/>
  <c r="O110" i="1"/>
  <c r="B110" i="1"/>
  <c r="I97" i="1"/>
  <c r="I24" i="1" s="1"/>
  <c r="P101" i="1"/>
  <c r="P25" i="1"/>
  <c r="B111" i="1"/>
  <c r="O111" i="1"/>
  <c r="H28" i="1"/>
  <c r="H113" i="1"/>
  <c r="O26" i="1"/>
  <c r="B105" i="1"/>
  <c r="B26" i="1"/>
  <c r="O105" i="1"/>
  <c r="B102" i="1"/>
  <c r="O102" i="1"/>
  <c r="L98" i="1"/>
  <c r="G111" i="1"/>
  <c r="H112" i="1"/>
  <c r="H110" i="1"/>
  <c r="L97" i="1"/>
  <c r="L24" i="1" s="1"/>
  <c r="H98" i="1"/>
  <c r="P97" i="1"/>
  <c r="P24" i="1" s="1"/>
  <c r="L96" i="1"/>
  <c r="G99" i="1"/>
  <c r="O103" i="1" l="1"/>
  <c r="B103" i="1"/>
  <c r="O96" i="1"/>
  <c r="B96" i="1"/>
  <c r="G109" i="1"/>
  <c r="U109" i="1" s="1"/>
  <c r="G27" i="1"/>
  <c r="U27" i="1" s="1"/>
  <c r="U99" i="1"/>
  <c r="C96" i="1"/>
  <c r="U111" i="1"/>
  <c r="O108" i="1"/>
  <c r="B108" i="1"/>
  <c r="O100" i="1"/>
  <c r="B100" i="1"/>
  <c r="B25" i="1"/>
  <c r="O25" i="1"/>
  <c r="O101" i="1"/>
  <c r="B101" i="1"/>
  <c r="G26" i="1"/>
  <c r="U26" i="1" s="1"/>
  <c r="G105" i="1"/>
  <c r="U105" i="1" s="1"/>
  <c r="G102" i="1"/>
  <c r="U102" i="1" s="1"/>
  <c r="H97" i="1"/>
  <c r="H24" i="1" s="1"/>
  <c r="G108" i="1"/>
  <c r="G107" i="1"/>
  <c r="U107" i="1" s="1"/>
  <c r="G104" i="1"/>
  <c r="U104" i="1" s="1"/>
  <c r="G103" i="1"/>
  <c r="H96" i="1"/>
  <c r="H100" i="1" l="1"/>
  <c r="O97" i="1"/>
  <c r="B97" i="1"/>
  <c r="B24" i="1" s="1"/>
  <c r="G25" i="1"/>
  <c r="G101" i="1"/>
  <c r="U108" i="1"/>
  <c r="U103" i="1"/>
  <c r="G28" i="1"/>
  <c r="U28" i="1" s="1"/>
  <c r="G113" i="1"/>
  <c r="U113" i="1" s="1"/>
  <c r="U25" i="1"/>
  <c r="U101" i="1"/>
  <c r="G110" i="1"/>
  <c r="U110" i="1" s="1"/>
  <c r="G98" i="1"/>
  <c r="U98" i="1" s="1"/>
  <c r="G112" i="1"/>
  <c r="U112" i="1" s="1"/>
  <c r="O24" i="1" l="1"/>
  <c r="G100" i="1"/>
  <c r="U100" i="1" s="1"/>
  <c r="G96" i="1"/>
  <c r="U96" i="1" s="1"/>
  <c r="G97" i="1" l="1"/>
  <c r="G24" i="1" l="1"/>
  <c r="U24" i="1" s="1"/>
  <c r="U97" i="1"/>
  <c r="Q94" i="1" l="1"/>
  <c r="Q95" i="1" l="1"/>
  <c r="S95" i="1" l="1"/>
  <c r="T94" i="1"/>
  <c r="S94" i="1"/>
  <c r="T95" i="1"/>
  <c r="R94" i="1" l="1"/>
  <c r="D95" i="1"/>
  <c r="D94" i="1"/>
  <c r="J95" i="1" l="1"/>
  <c r="R95" i="1"/>
  <c r="E94" i="1"/>
  <c r="J94" i="1"/>
  <c r="P94" i="1" l="1"/>
  <c r="I95" i="1"/>
  <c r="P95" i="1"/>
  <c r="Q88" i="1"/>
  <c r="Q92" i="1"/>
  <c r="Q90" i="1"/>
  <c r="L94" i="1"/>
  <c r="K95" i="1"/>
  <c r="C94" i="1"/>
  <c r="E95" i="1"/>
  <c r="I94" i="1" l="1"/>
  <c r="O94" i="1"/>
  <c r="B94" i="1"/>
  <c r="Q89" i="1"/>
  <c r="Q22" i="1" s="1"/>
  <c r="K94" i="1"/>
  <c r="Q91" i="1"/>
  <c r="H95" i="1"/>
  <c r="Q93" i="1"/>
  <c r="Q23" i="1" s="1"/>
  <c r="L95" i="1"/>
  <c r="C95" i="1"/>
  <c r="H94" i="1"/>
  <c r="O95" i="1" l="1"/>
  <c r="B95" i="1"/>
  <c r="S88" i="1"/>
  <c r="S90" i="1"/>
  <c r="S92" i="1"/>
  <c r="T88" i="1"/>
  <c r="S89" i="1"/>
  <c r="S22" i="1" s="1"/>
  <c r="T90" i="1"/>
  <c r="S91" i="1"/>
  <c r="T91" i="1"/>
  <c r="T92" i="1"/>
  <c r="T93" i="1"/>
  <c r="T23" i="1" s="1"/>
  <c r="T89" i="1"/>
  <c r="T22" i="1" s="1"/>
  <c r="S93" i="1"/>
  <c r="S23" i="1" s="1"/>
  <c r="D91" i="1" l="1"/>
  <c r="D93" i="1"/>
  <c r="D23" i="1" s="1"/>
  <c r="R90" i="1"/>
  <c r="G95" i="1"/>
  <c r="U95" i="1" s="1"/>
  <c r="G94" i="1"/>
  <c r="U94" i="1" s="1"/>
  <c r="D92" i="1"/>
  <c r="R93" i="1" l="1"/>
  <c r="R23" i="1" s="1"/>
  <c r="D89" i="1"/>
  <c r="D22" i="1" s="1"/>
  <c r="E93" i="1"/>
  <c r="E23" i="1" s="1"/>
  <c r="R91" i="1"/>
  <c r="E91" i="1"/>
  <c r="R92" i="1"/>
  <c r="J90" i="1"/>
  <c r="P90" i="1"/>
  <c r="J91" i="1"/>
  <c r="E89" i="1"/>
  <c r="E22" i="1" s="1"/>
  <c r="R88" i="1"/>
  <c r="J88" i="1"/>
  <c r="C93" i="1"/>
  <c r="C23" i="1" s="1"/>
  <c r="D88" i="1" l="1"/>
  <c r="E90" i="1"/>
  <c r="R89" i="1"/>
  <c r="R22" i="1" s="1"/>
  <c r="C92" i="1"/>
  <c r="E92" i="1"/>
  <c r="J92" i="1"/>
  <c r="E88" i="1"/>
  <c r="D90" i="1"/>
  <c r="P88" i="1"/>
  <c r="I93" i="1"/>
  <c r="I23" i="1" s="1"/>
  <c r="L93" i="1"/>
  <c r="L23" i="1" s="1"/>
  <c r="C91" i="1"/>
  <c r="C90" i="1"/>
  <c r="P92" i="1"/>
  <c r="K89" i="1"/>
  <c r="K22" i="1" s="1"/>
  <c r="K92" i="1"/>
  <c r="J93" i="1"/>
  <c r="J23" i="1" s="1"/>
  <c r="K88" i="1"/>
  <c r="K91" i="1"/>
  <c r="P91" i="1"/>
  <c r="L90" i="1"/>
  <c r="I89" i="1"/>
  <c r="I22" i="1" s="1"/>
  <c r="K90" i="1"/>
  <c r="P89" i="1"/>
  <c r="P22" i="1" s="1"/>
  <c r="C89" i="1"/>
  <c r="C22" i="1" s="1"/>
  <c r="I91" i="1"/>
  <c r="L92" i="1"/>
  <c r="H92" i="1"/>
  <c r="P93" i="1"/>
  <c r="P23" i="1" s="1"/>
  <c r="O90" i="1" l="1"/>
  <c r="B90" i="1"/>
  <c r="I90" i="1"/>
  <c r="L88" i="1"/>
  <c r="J89" i="1"/>
  <c r="J22" i="1" s="1"/>
  <c r="I88" i="1"/>
  <c r="C88" i="1"/>
  <c r="I92" i="1"/>
  <c r="L91" i="1"/>
  <c r="H93" i="1"/>
  <c r="H23" i="1" s="1"/>
  <c r="H91" i="1"/>
  <c r="K93" i="1"/>
  <c r="K23" i="1" s="1"/>
  <c r="L89" i="1"/>
  <c r="L22" i="1" s="1"/>
  <c r="H90" i="1"/>
  <c r="H89" i="1" l="1"/>
  <c r="H22" i="1" s="1"/>
  <c r="H88" i="1"/>
  <c r="O88" i="1"/>
  <c r="B88" i="1"/>
  <c r="O89" i="1"/>
  <c r="B89" i="1"/>
  <c r="B22" i="1" s="1"/>
  <c r="O91" i="1"/>
  <c r="B91" i="1"/>
  <c r="O93" i="1"/>
  <c r="B93" i="1"/>
  <c r="B23" i="1" s="1"/>
  <c r="O92" i="1"/>
  <c r="B92" i="1"/>
  <c r="G92" i="1"/>
  <c r="U92" i="1" l="1"/>
  <c r="O23" i="1"/>
  <c r="O22" i="1"/>
  <c r="G88" i="1"/>
  <c r="U88" i="1" s="1"/>
  <c r="G89" i="1"/>
  <c r="G22" i="1" s="1"/>
  <c r="G93" i="1"/>
  <c r="G23" i="1" s="1"/>
  <c r="G91" i="1"/>
  <c r="U91" i="1" s="1"/>
  <c r="G90" i="1" l="1"/>
  <c r="U90" i="1" s="1"/>
  <c r="U89" i="1"/>
  <c r="U22" i="1"/>
  <c r="U93" i="1"/>
  <c r="U23" i="1"/>
</calcChain>
</file>

<file path=xl/comments1.xml><?xml version="1.0" encoding="utf-8"?>
<comments xmlns="http://schemas.openxmlformats.org/spreadsheetml/2006/main">
  <authors>
    <author>NRBT</author>
  </authors>
  <commentList>
    <comment ref="H7" authorId="0" shapeId="0">
      <text>
        <r>
          <rPr>
            <b/>
            <sz val="8"/>
            <color indexed="81"/>
            <rFont val="Tahoma"/>
            <family val="2"/>
          </rPr>
          <t xml:space="preserve">NRBT: This includes:  (+) deposits with CBs 
deposits with NRBT minus (-) 
Borrowing from CBs 
Bonds held by CBs
  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gov</author>
  </authors>
  <commentList>
    <comment ref="B5" authorId="0" shapeId="0">
      <text>
        <r>
          <rPr>
            <b/>
            <sz val="8"/>
            <color indexed="81"/>
            <rFont val="Tahoma"/>
            <family val="2"/>
          </rPr>
          <t xml:space="preserve">figure and that reported on NRBT Balance Sheet is due to error on reporting from respective Dept
</t>
        </r>
      </text>
    </comment>
  </commentList>
</comments>
</file>

<file path=xl/sharedStrings.xml><?xml version="1.0" encoding="utf-8"?>
<sst xmlns="http://schemas.openxmlformats.org/spreadsheetml/2006/main" count="576" uniqueCount="250">
  <si>
    <t>S1</t>
  </si>
  <si>
    <t>S2</t>
  </si>
  <si>
    <t>Table A1:   DEPOSITORY CORPORATIONS SURVEY</t>
  </si>
  <si>
    <t>(Millions of pa'anga) 1/</t>
  </si>
  <si>
    <t>(Millions of pa'anga)</t>
  </si>
  <si>
    <t>Broad Money (M2)</t>
  </si>
  <si>
    <t>Foreign balances</t>
  </si>
  <si>
    <t>Net domestic credit</t>
  </si>
  <si>
    <t>Other</t>
  </si>
  <si>
    <t>Total</t>
  </si>
  <si>
    <t>Narrow Money</t>
  </si>
  <si>
    <t>Other Deposits
(Quasi Money)</t>
  </si>
  <si>
    <t>Securities other than shares</t>
  </si>
  <si>
    <t>End</t>
  </si>
  <si>
    <t>Net</t>
  </si>
  <si>
    <t>Gross</t>
  </si>
  <si>
    <t>Foreign</t>
  </si>
  <si>
    <t>Government</t>
  </si>
  <si>
    <t>Private</t>
  </si>
  <si>
    <t>items</t>
  </si>
  <si>
    <t>domestic</t>
  </si>
  <si>
    <t>Currency</t>
  </si>
  <si>
    <t>Transferrable</t>
  </si>
  <si>
    <t>of:</t>
  </si>
  <si>
    <t>assets</t>
  </si>
  <si>
    <t>liabilities</t>
  </si>
  <si>
    <t>(net)</t>
  </si>
  <si>
    <t>sector</t>
  </si>
  <si>
    <t>liquidity</t>
  </si>
  <si>
    <t>M1</t>
  </si>
  <si>
    <t>outside banks</t>
  </si>
  <si>
    <t>deposits</t>
  </si>
  <si>
    <t xml:space="preserve"> </t>
  </si>
  <si>
    <t>2/</t>
  </si>
  <si>
    <t>M2</t>
  </si>
  <si>
    <t>V-check</t>
  </si>
  <si>
    <t>1986/87</t>
  </si>
  <si>
    <t>1987/88</t>
  </si>
  <si>
    <t>1988/89</t>
  </si>
  <si>
    <t>1989/90</t>
  </si>
  <si>
    <t>1990/91</t>
  </si>
  <si>
    <t>1991/92</t>
  </si>
  <si>
    <t>1992/93</t>
  </si>
  <si>
    <t>1993/94</t>
  </si>
  <si>
    <t>1994/95</t>
  </si>
  <si>
    <t>1995/96</t>
  </si>
  <si>
    <t>1996/97</t>
  </si>
  <si>
    <t>1997/98</t>
  </si>
  <si>
    <t>1998/99</t>
  </si>
  <si>
    <t>1999/00</t>
  </si>
  <si>
    <t>2000/01</t>
  </si>
  <si>
    <t>2001/02</t>
  </si>
  <si>
    <t>2002/03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</si>
  <si>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</si>
  <si>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</si>
  <si>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</si>
  <si>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</si>
  <si>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</si>
  <si>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</si>
  <si>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</si>
  <si>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</si>
  <si>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</si>
  <si>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</si>
  <si>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</si>
  <si>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Source:  National Reserve Bank of Tonga</t>
  </si>
  <si>
    <t>--</t>
  </si>
  <si>
    <t>2014/15</t>
  </si>
  <si>
    <t>2015/16</t>
  </si>
  <si>
    <t>2016/17</t>
  </si>
  <si>
    <t>Total notes</t>
  </si>
  <si>
    <t>Notes on issue</t>
  </si>
  <si>
    <t>and coins</t>
  </si>
  <si>
    <t>on issue</t>
  </si>
  <si>
    <t xml:space="preserve">$1 </t>
  </si>
  <si>
    <t>$2</t>
  </si>
  <si>
    <t>$5</t>
  </si>
  <si>
    <t>$10</t>
  </si>
  <si>
    <t>$20</t>
  </si>
  <si>
    <t>$50</t>
  </si>
  <si>
    <t>Total coins</t>
  </si>
  <si>
    <t>Coins on issue</t>
  </si>
  <si>
    <t>1s</t>
  </si>
  <si>
    <t>2s</t>
  </si>
  <si>
    <t>5s</t>
  </si>
  <si>
    <t>10s</t>
  </si>
  <si>
    <t>20s</t>
  </si>
  <si>
    <t>50s</t>
  </si>
  <si>
    <r>
      <rPr>
        <b/>
        <sz val="8"/>
        <rFont val="Arial Narrow"/>
        <family val="2"/>
      </rPr>
      <t>Source</t>
    </r>
    <r>
      <rPr>
        <sz val="8"/>
        <rFont val="Arial Narrow"/>
        <family val="2"/>
      </rPr>
      <t>:  National Reserve Bank of Tonga</t>
    </r>
  </si>
  <si>
    <t>Table A2:  DENOMINATIONS OF CURRENCY ISSUED</t>
  </si>
  <si>
    <t>Non-Financial</t>
  </si>
  <si>
    <t>Corporations</t>
  </si>
  <si>
    <t>Other Financial</t>
  </si>
  <si>
    <r>
      <rPr>
        <b/>
        <sz val="8"/>
        <rFont val="Arial Narrow"/>
        <family val="2"/>
      </rPr>
      <t>Source</t>
    </r>
    <r>
      <rPr>
        <sz val="8"/>
        <rFont val="Arial Narrow"/>
        <family val="2"/>
      </rPr>
      <t>:National Reserve Bank of Tonga</t>
    </r>
  </si>
  <si>
    <t>S3</t>
  </si>
  <si>
    <t>2017/18</t>
  </si>
  <si>
    <t>2018/19</t>
  </si>
  <si>
    <t>2019/20</t>
  </si>
  <si>
    <t>2020/21</t>
  </si>
  <si>
    <t>3/</t>
  </si>
  <si>
    <t>Revision: NRBT + Commercial Banks + TDB</t>
  </si>
  <si>
    <t>2021/22</t>
  </si>
  <si>
    <t>2016Q1</t>
  </si>
  <si>
    <t>2016Q2</t>
  </si>
  <si>
    <t>2016Q3</t>
  </si>
  <si>
    <t>2016Q4</t>
  </si>
  <si>
    <t>2017Q1</t>
  </si>
  <si>
    <t>2017Q2</t>
  </si>
  <si>
    <t>2017Q3</t>
  </si>
  <si>
    <t>2017Q4</t>
  </si>
  <si>
    <t>2018Q1</t>
  </si>
  <si>
    <t>2018Q2</t>
  </si>
  <si>
    <t>2018Q3</t>
  </si>
  <si>
    <t>2018Q4</t>
  </si>
  <si>
    <t>2019Q1</t>
  </si>
  <si>
    <t>2019Q2</t>
  </si>
  <si>
    <t>2019Q3</t>
  </si>
  <si>
    <t>2019Q4</t>
  </si>
  <si>
    <t>2020Q1</t>
  </si>
  <si>
    <t>2020Q2</t>
  </si>
  <si>
    <t>2020Q3</t>
  </si>
  <si>
    <t>2020Q4</t>
  </si>
  <si>
    <t>2021Q1</t>
  </si>
  <si>
    <t>2021Q2</t>
  </si>
  <si>
    <t>2021Q3</t>
  </si>
  <si>
    <t>2021Q4</t>
  </si>
  <si>
    <t>2022Q1</t>
  </si>
  <si>
    <t>2022Q2</t>
  </si>
  <si>
    <t>2022Q3</t>
  </si>
  <si>
    <t>2022Q4</t>
  </si>
  <si>
    <t>2023Q1</t>
  </si>
  <si>
    <t>2023Q2</t>
  </si>
  <si>
    <t>2023Q3</t>
  </si>
  <si>
    <t>2015Q2</t>
  </si>
  <si>
    <t>2015Q3</t>
  </si>
  <si>
    <t>2015Q4</t>
  </si>
  <si>
    <t>2015Q1</t>
  </si>
  <si>
    <t>2014Q3</t>
  </si>
  <si>
    <t>2014Q2</t>
  </si>
  <si>
    <t>2014Q1</t>
  </si>
  <si>
    <t>2014Q4</t>
  </si>
  <si>
    <t>2002Q1</t>
  </si>
  <si>
    <t>2002Q2</t>
  </si>
  <si>
    <t>2002Q3</t>
  </si>
  <si>
    <t>2002Q4</t>
  </si>
  <si>
    <t>2003Q1</t>
  </si>
  <si>
    <t>2003Q2</t>
  </si>
  <si>
    <t>2003Q3</t>
  </si>
  <si>
    <t>2003Q4</t>
  </si>
  <si>
    <t>2004Q1</t>
  </si>
  <si>
    <t>2004Q2</t>
  </si>
  <si>
    <t>2004Q3</t>
  </si>
  <si>
    <t>2004Q4</t>
  </si>
  <si>
    <t>2005Q1</t>
  </si>
  <si>
    <t>2005Q2</t>
  </si>
  <si>
    <t>2005Q3</t>
  </si>
  <si>
    <t>2005Q4</t>
  </si>
  <si>
    <t>2006Q1</t>
  </si>
  <si>
    <t>2006Q2</t>
  </si>
  <si>
    <t>2006Q3</t>
  </si>
  <si>
    <t>2006Q4</t>
  </si>
  <si>
    <t>2007Q1</t>
  </si>
  <si>
    <t>2007Q2</t>
  </si>
  <si>
    <t>2007Q3</t>
  </si>
  <si>
    <t>2007Q4</t>
  </si>
  <si>
    <t>2008Q1</t>
  </si>
  <si>
    <t>2008Q2</t>
  </si>
  <si>
    <t>2008Q3</t>
  </si>
  <si>
    <t>2008Q4</t>
  </si>
  <si>
    <t>2009Q1</t>
  </si>
  <si>
    <t>2009Q2</t>
  </si>
  <si>
    <t>2009Q3</t>
  </si>
  <si>
    <t>2009Q4</t>
  </si>
  <si>
    <t>2010Q1</t>
  </si>
  <si>
    <t>2010Q2</t>
  </si>
  <si>
    <t>2010Q3</t>
  </si>
  <si>
    <t>2010Q4</t>
  </si>
  <si>
    <t>2011Q1</t>
  </si>
  <si>
    <t>2011Q2</t>
  </si>
  <si>
    <t>2011Q3</t>
  </si>
  <si>
    <t>2011Q4</t>
  </si>
  <si>
    <t>2012Q1</t>
  </si>
  <si>
    <t>2012Q2</t>
  </si>
  <si>
    <t>2012Q3</t>
  </si>
  <si>
    <t>2012Q4</t>
  </si>
  <si>
    <t>2013Q1</t>
  </si>
  <si>
    <t>2013Q2</t>
  </si>
  <si>
    <t>2013Q3</t>
  </si>
  <si>
    <t>2013Q4</t>
  </si>
  <si>
    <t>2022/23</t>
  </si>
  <si>
    <t>See Notes on Guide to Statistical Tables</t>
  </si>
  <si>
    <t>2023Q4</t>
  </si>
  <si>
    <t>2024Q1</t>
  </si>
  <si>
    <t>2024Q2</t>
  </si>
  <si>
    <t>2023/24</t>
  </si>
  <si>
    <t>2024Q3</t>
  </si>
  <si>
    <t>1989Q3</t>
  </si>
  <si>
    <t>1989Q4</t>
  </si>
  <si>
    <t>1990Q1</t>
  </si>
  <si>
    <t>1990Q2</t>
  </si>
  <si>
    <t>1990Q3</t>
  </si>
  <si>
    <t>1990Q4</t>
  </si>
  <si>
    <t>1991Q1</t>
  </si>
  <si>
    <t>1991Q2</t>
  </si>
  <si>
    <t>1991Q3</t>
  </si>
  <si>
    <t>1991Q4</t>
  </si>
  <si>
    <t>1992Q1</t>
  </si>
  <si>
    <t>1992Q2</t>
  </si>
  <si>
    <t>1992Q3</t>
  </si>
  <si>
    <t>1992Q4</t>
  </si>
  <si>
    <t>1993Q1</t>
  </si>
  <si>
    <t>1993Q2</t>
  </si>
  <si>
    <t>1993Q3</t>
  </si>
  <si>
    <t>1993Q4</t>
  </si>
  <si>
    <t>1994Q1</t>
  </si>
  <si>
    <t>1994Q2</t>
  </si>
  <si>
    <t>1994Q3</t>
  </si>
  <si>
    <t>1994Q4</t>
  </si>
  <si>
    <t>1995Q1</t>
  </si>
  <si>
    <t>1995Q2</t>
  </si>
  <si>
    <t>1995Q3</t>
  </si>
  <si>
    <t>1995Q4</t>
  </si>
  <si>
    <t>1996Q1</t>
  </si>
  <si>
    <t>1996Q2</t>
  </si>
  <si>
    <t>1996Q3</t>
  </si>
  <si>
    <t>1996Q4</t>
  </si>
  <si>
    <t>1997Q1</t>
  </si>
  <si>
    <t>1997Q2</t>
  </si>
  <si>
    <t>1997Q3</t>
  </si>
  <si>
    <t>1997Q4</t>
  </si>
  <si>
    <t>1998Q1</t>
  </si>
  <si>
    <t>1998Q2</t>
  </si>
  <si>
    <t>1998Q3</t>
  </si>
  <si>
    <t>1998Q4</t>
  </si>
  <si>
    <t>1999Q1</t>
  </si>
  <si>
    <t>1999Q2</t>
  </si>
  <si>
    <t>1999Q3</t>
  </si>
  <si>
    <t>1999Q4</t>
  </si>
  <si>
    <t>2000Q1</t>
  </si>
  <si>
    <t>2000Q2</t>
  </si>
  <si>
    <t>2000Q3</t>
  </si>
  <si>
    <t>2000Q4</t>
  </si>
  <si>
    <t>2001Q1</t>
  </si>
  <si>
    <t>2001Q2</t>
  </si>
  <si>
    <t>2001Q3</t>
  </si>
  <si>
    <t>2001Q4</t>
  </si>
  <si>
    <t>1989Q2</t>
  </si>
  <si>
    <t>Data starts from 1999 - the beginning of the "Financial Aggregate" database which this file linked to.</t>
  </si>
  <si>
    <t>Quarterly data can only go up to 1989Q2</t>
  </si>
  <si>
    <t>2024Q4</t>
  </si>
  <si>
    <t>2025Q1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</si>
</sst>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64" formatCode="_(* #,##0.00_);_(* \(#,##0.00\);_(* &quot;-&quot;??_);_(@_)"/>
    <numFmt numFmtId="165" formatCode="&quot;$&quot;#,##0;\-&quot;$&quot;#,##0"/>
    <numFmt numFmtId="166" formatCode="#,##0.0000_);\(#,##0.0000\)"/>
    <numFmt numFmtId="167" formatCode="0.00_m_m"/>
    <numFmt numFmtId="168" formatCode="0.00_)"/>
    <numFmt numFmtId="169" formatCode="0.0"/>
    <numFmt numFmtId="170" formatCode="0.0_m_m"/>
    <numFmt numFmtId="171" formatCode="0.0_m_m_m"/>
    <numFmt numFmtId="172" formatCode="0.0%"/>
    <numFmt numFmtId="173" formatCode="0.000000"/>
    <numFmt numFmtId="174" formatCode="General_)"/>
    <numFmt numFmtId="175" formatCode="yyyy/yy"/>
    <numFmt numFmtId="176" formatCode="#,##0.000_);\(#,##0.000\)"/>
    <numFmt numFmtId="177" formatCode="0.0000000000000E+00"/>
    <numFmt numFmtId="178" formatCode="0.000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 Narrow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b/>
      <sz val="8"/>
      <name val="Arial Narrow"/>
      <family val="2"/>
    </font>
    <font>
      <b/>
      <sz val="12"/>
      <name val="Arial Narrow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name val="Arial Narrow"/>
      <family val="2"/>
    </font>
    <font>
      <sz val="8"/>
      <color indexed="13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39" fontId="2" fillId="0" borderId="0"/>
    <xf numFmtId="0" fontId="9" fillId="0" borderId="0"/>
    <xf numFmtId="164" fontId="2" fillId="0" borderId="0" applyFont="0" applyFill="0" applyBorder="0" applyAlignment="0" applyProtection="0"/>
    <xf numFmtId="168" fontId="2" fillId="0" borderId="0"/>
    <xf numFmtId="174" fontId="2" fillId="0" borderId="0"/>
  </cellStyleXfs>
  <cellXfs count="194">
    <xf numFmtId="0" fontId="0" fillId="0" borderId="0" xfId="0"/>
    <xf numFmtId="39" fontId="3" fillId="0" borderId="1" xfId="2" applyFont="1" applyBorder="1" applyAlignment="1">
      <alignment vertical="center"/>
    </xf>
    <xf numFmtId="39" fontId="2" fillId="0" borderId="1" xfId="2" applyBorder="1"/>
    <xf numFmtId="39" fontId="3" fillId="0" borderId="1" xfId="2" applyFont="1" applyBorder="1" applyAlignment="1">
      <alignment horizontal="right" vertical="center"/>
    </xf>
    <xf numFmtId="39" fontId="2" fillId="0" borderId="1" xfId="2" applyBorder="1" applyAlignment="1">
      <alignment vertical="top"/>
    </xf>
    <xf numFmtId="39" fontId="3" fillId="0" borderId="2" xfId="2" applyFont="1" applyBorder="1" applyAlignment="1" applyProtection="1">
      <alignment horizontal="centerContinuous" vertical="top"/>
    </xf>
    <xf numFmtId="39" fontId="3" fillId="0" borderId="2" xfId="2" applyFont="1" applyBorder="1" applyAlignment="1">
      <alignment horizontal="centerContinuous" vertical="top"/>
    </xf>
    <xf numFmtId="0" fontId="0" fillId="0" borderId="2" xfId="0" applyBorder="1" applyAlignment="1">
      <alignment vertical="top"/>
    </xf>
    <xf numFmtId="39" fontId="3" fillId="0" borderId="3" xfId="2" applyFont="1" applyBorder="1" applyAlignment="1" applyProtection="1">
      <alignment horizontal="centerContinuous" vertical="top"/>
    </xf>
    <xf numFmtId="39" fontId="5" fillId="0" borderId="3" xfId="2" applyFont="1" applyBorder="1" applyAlignment="1">
      <alignment horizontal="centerContinuous" vertical="top"/>
    </xf>
    <xf numFmtId="39" fontId="2" fillId="0" borderId="3" xfId="2" applyBorder="1" applyAlignment="1">
      <alignment horizontal="centerContinuous" vertical="top"/>
    </xf>
    <xf numFmtId="39" fontId="6" fillId="0" borderId="3" xfId="2" applyFont="1" applyBorder="1" applyAlignment="1">
      <alignment horizontal="centerContinuous" vertical="top"/>
    </xf>
    <xf numFmtId="39" fontId="5" fillId="0" borderId="4" xfId="2" applyFont="1" applyBorder="1" applyAlignment="1">
      <alignment vertical="center"/>
    </xf>
    <xf numFmtId="39" fontId="5" fillId="0" borderId="6" xfId="2" applyFont="1" applyBorder="1" applyAlignment="1" applyProtection="1">
      <alignment horizontal="centerContinuous" vertical="center"/>
    </xf>
    <xf numFmtId="39" fontId="2" fillId="0" borderId="6" xfId="2" applyBorder="1" applyAlignment="1">
      <alignment horizontal="centerContinuous" vertical="center"/>
    </xf>
    <xf numFmtId="39" fontId="5" fillId="0" borderId="6" xfId="2" applyFont="1" applyBorder="1" applyAlignment="1">
      <alignment horizontal="centerContinuous" vertical="center"/>
    </xf>
    <xf numFmtId="39" fontId="5" fillId="0" borderId="5" xfId="2" applyFont="1" applyBorder="1" applyAlignment="1">
      <alignment vertical="center"/>
    </xf>
    <xf numFmtId="166" fontId="5" fillId="0" borderId="7" xfId="2" quotePrefix="1" applyNumberFormat="1" applyFont="1" applyBorder="1" applyAlignment="1">
      <alignment horizontal="center"/>
    </xf>
    <xf numFmtId="39" fontId="2" fillId="0" borderId="8" xfId="2" applyBorder="1" applyAlignment="1">
      <alignment vertical="center"/>
    </xf>
    <xf numFmtId="39" fontId="5" fillId="0" borderId="5" xfId="2" applyFont="1" applyBorder="1" applyAlignment="1" applyProtection="1">
      <alignment horizontal="center" vertical="center"/>
    </xf>
    <xf numFmtId="39" fontId="2" fillId="0" borderId="11" xfId="2" applyBorder="1" applyAlignment="1">
      <alignment vertical="center"/>
    </xf>
    <xf numFmtId="0" fontId="0" fillId="0" borderId="12" xfId="0" applyBorder="1"/>
    <xf numFmtId="39" fontId="5" fillId="0" borderId="13" xfId="2" applyFont="1" applyBorder="1" applyAlignment="1" applyProtection="1">
      <alignment horizontal="centerContinuous"/>
    </xf>
    <xf numFmtId="39" fontId="5" fillId="0" borderId="14" xfId="2" applyFont="1" applyBorder="1" applyAlignment="1" applyProtection="1">
      <alignment horizontal="center"/>
    </xf>
    <xf numFmtId="39" fontId="5" fillId="0" borderId="1" xfId="2" applyFont="1" applyBorder="1" applyAlignment="1" applyProtection="1">
      <alignment horizontal="center"/>
    </xf>
    <xf numFmtId="39" fontId="5" fillId="0" borderId="14" xfId="2" applyFont="1" applyBorder="1" applyAlignment="1" applyProtection="1">
      <alignment horizontal="centerContinuous"/>
    </xf>
    <xf numFmtId="39" fontId="5" fillId="0" borderId="15" xfId="2" applyFont="1" applyBorder="1" applyAlignment="1">
      <alignment horizontal="center" vertical="center"/>
    </xf>
    <xf numFmtId="39" fontId="5" fillId="0" borderId="13" xfId="2" applyFont="1" applyBorder="1" applyAlignment="1" applyProtection="1">
      <alignment horizontal="centerContinuous" vertical="center"/>
    </xf>
    <xf numFmtId="39" fontId="5" fillId="0" borderId="1" xfId="2" applyFont="1" applyBorder="1" applyAlignment="1" applyProtection="1">
      <alignment horizontal="centerContinuous" vertical="center"/>
    </xf>
    <xf numFmtId="39" fontId="5" fillId="0" borderId="1" xfId="2" applyFont="1" applyBorder="1" applyAlignment="1" applyProtection="1">
      <alignment horizontal="center" vertical="center"/>
    </xf>
    <xf numFmtId="39" fontId="2" fillId="0" borderId="16" xfId="2" applyBorder="1" applyAlignment="1">
      <alignment vertical="center"/>
    </xf>
    <xf numFmtId="0" fontId="0" fillId="0" borderId="17" xfId="0" applyBorder="1"/>
    <xf numFmtId="39" fontId="5" fillId="0" borderId="15" xfId="2" applyFont="1" applyBorder="1" applyAlignment="1">
      <alignment horizontal="center" vertical="top"/>
    </xf>
    <xf numFmtId="39" fontId="2" fillId="0" borderId="8" xfId="2" applyBorder="1"/>
    <xf numFmtId="39" fontId="5" fillId="0" borderId="1" xfId="2" applyFont="1" applyBorder="1" applyAlignment="1" applyProtection="1">
      <alignment horizontal="center" vertical="top"/>
    </xf>
    <xf numFmtId="39" fontId="2" fillId="0" borderId="16" xfId="2" applyBorder="1"/>
    <xf numFmtId="0" fontId="0" fillId="0" borderId="18" xfId="0" applyBorder="1"/>
    <xf numFmtId="39" fontId="5" fillId="0" borderId="19" xfId="2" applyFont="1" applyBorder="1" applyAlignment="1">
      <alignment horizontal="centerContinuous" vertical="top"/>
    </xf>
    <xf numFmtId="39" fontId="5" fillId="0" borderId="2" xfId="2" applyFont="1" applyBorder="1" applyAlignment="1">
      <alignment horizontal="centerContinuous" vertical="top"/>
    </xf>
    <xf numFmtId="39" fontId="2" fillId="0" borderId="2" xfId="2" applyBorder="1" applyAlignment="1">
      <alignment vertical="top"/>
    </xf>
    <xf numFmtId="39" fontId="5" fillId="0" borderId="2" xfId="2" applyFont="1" applyBorder="1" applyAlignment="1" applyProtection="1">
      <alignment horizontal="center" vertical="top"/>
    </xf>
    <xf numFmtId="0" fontId="0" fillId="0" borderId="20" xfId="0" applyBorder="1"/>
    <xf numFmtId="39" fontId="2" fillId="0" borderId="8" xfId="2" applyBorder="1" applyAlignment="1">
      <alignment vertical="top"/>
    </xf>
    <xf numFmtId="0" fontId="0" fillId="0" borderId="2" xfId="0" applyBorder="1"/>
    <xf numFmtId="39" fontId="5" fillId="0" borderId="13" xfId="2" applyFont="1" applyBorder="1" applyAlignment="1">
      <alignment horizontal="center" vertical="top"/>
    </xf>
    <xf numFmtId="168" fontId="2" fillId="0" borderId="8" xfId="2" applyNumberFormat="1" applyBorder="1" applyProtection="1"/>
    <xf numFmtId="172" fontId="0" fillId="0" borderId="0" xfId="0" applyNumberFormat="1" applyBorder="1" applyAlignment="1"/>
    <xf numFmtId="170" fontId="2" fillId="2" borderId="0" xfId="2" applyNumberFormat="1" applyFill="1" applyBorder="1" applyAlignment="1" applyProtection="1">
      <alignment vertical="top"/>
    </xf>
    <xf numFmtId="171" fontId="2" fillId="2" borderId="0" xfId="2" applyNumberFormat="1" applyFont="1" applyFill="1" applyBorder="1" applyAlignment="1" applyProtection="1">
      <alignment vertical="top"/>
    </xf>
    <xf numFmtId="39" fontId="2" fillId="0" borderId="0" xfId="2" applyFont="1" applyBorder="1" applyAlignment="1">
      <alignment horizontal="left"/>
    </xf>
    <xf numFmtId="0" fontId="0" fillId="0" borderId="0" xfId="0" applyBorder="1" applyAlignment="1"/>
    <xf numFmtId="167" fontId="0" fillId="0" borderId="0" xfId="0" applyNumberFormat="1" applyBorder="1" applyAlignment="1"/>
    <xf numFmtId="170" fontId="2" fillId="0" borderId="0" xfId="2" applyNumberFormat="1" applyBorder="1" applyAlignment="1"/>
    <xf numFmtId="170" fontId="0" fillId="0" borderId="0" xfId="0" applyNumberFormat="1" applyBorder="1" applyAlignment="1"/>
    <xf numFmtId="39" fontId="2" fillId="0" borderId="0" xfId="2" applyFont="1" applyAlignment="1"/>
    <xf numFmtId="0" fontId="0" fillId="0" borderId="0" xfId="0" applyBorder="1"/>
    <xf numFmtId="170" fontId="2" fillId="0" borderId="0" xfId="2" applyNumberFormat="1" applyBorder="1" applyAlignment="1">
      <alignment vertical="top"/>
    </xf>
    <xf numFmtId="169" fontId="0" fillId="0" borderId="0" xfId="1" applyNumberFormat="1" applyFont="1" applyBorder="1" applyAlignment="1"/>
    <xf numFmtId="172" fontId="0" fillId="0" borderId="0" xfId="1" applyNumberFormat="1" applyFont="1" applyBorder="1" applyAlignment="1"/>
    <xf numFmtId="0" fontId="0" fillId="0" borderId="0" xfId="1" applyNumberFormat="1" applyFont="1" applyBorder="1" applyAlignment="1"/>
    <xf numFmtId="0" fontId="0" fillId="2" borderId="0" xfId="0" applyFill="1"/>
    <xf numFmtId="14" fontId="5" fillId="0" borderId="13" xfId="2" applyNumberFormat="1" applyFont="1" applyFill="1" applyBorder="1" applyAlignment="1" applyProtection="1">
      <alignment horizontal="center"/>
    </xf>
    <xf numFmtId="1" fontId="5" fillId="0" borderId="13" xfId="2" applyNumberFormat="1" applyFont="1" applyBorder="1" applyAlignment="1" applyProtection="1">
      <alignment horizontal="center"/>
    </xf>
    <xf numFmtId="39" fontId="2" fillId="0" borderId="13" xfId="2" applyFont="1" applyBorder="1" applyAlignment="1" applyProtection="1">
      <alignment horizontal="center"/>
    </xf>
    <xf numFmtId="168" fontId="2" fillId="2" borderId="0" xfId="5" applyFill="1"/>
    <xf numFmtId="174" fontId="3" fillId="2" borderId="0" xfId="6" applyFont="1" applyFill="1" applyAlignment="1">
      <alignment horizontal="right" vertical="center"/>
    </xf>
    <xf numFmtId="168" fontId="5" fillId="2" borderId="24" xfId="5" applyFont="1" applyFill="1" applyBorder="1"/>
    <xf numFmtId="168" fontId="5" fillId="2" borderId="24" xfId="5" applyFont="1" applyFill="1" applyBorder="1" applyAlignment="1" applyProtection="1">
      <alignment horizontal="center"/>
    </xf>
    <xf numFmtId="168" fontId="5" fillId="2" borderId="0" xfId="5" applyFont="1" applyFill="1" applyBorder="1" applyAlignment="1" applyProtection="1">
      <alignment horizontal="center"/>
    </xf>
    <xf numFmtId="168" fontId="5" fillId="2" borderId="0" xfId="5" applyFont="1" applyFill="1" applyBorder="1"/>
    <xf numFmtId="168" fontId="5" fillId="2" borderId="25" xfId="5" applyFont="1" applyFill="1" applyBorder="1"/>
    <xf numFmtId="168" fontId="5" fillId="2" borderId="22" xfId="5" applyFont="1" applyFill="1" applyBorder="1" applyAlignment="1" applyProtection="1">
      <alignment horizontal="center" vertical="top"/>
    </xf>
    <xf numFmtId="168" fontId="5" fillId="2" borderId="22" xfId="5" applyFont="1" applyFill="1" applyBorder="1" applyAlignment="1" applyProtection="1">
      <alignment horizontal="center" vertical="top" wrapText="1"/>
    </xf>
    <xf numFmtId="165" fontId="5" fillId="2" borderId="22" xfId="5" applyNumberFormat="1" applyFont="1" applyFill="1" applyBorder="1" applyAlignment="1" applyProtection="1">
      <alignment horizontal="center" vertical="top"/>
    </xf>
    <xf numFmtId="165" fontId="5" fillId="2" borderId="28" xfId="5" applyNumberFormat="1" applyFont="1" applyFill="1" applyBorder="1" applyAlignment="1" applyProtection="1">
      <alignment horizontal="center" vertical="top"/>
    </xf>
    <xf numFmtId="167" fontId="2" fillId="2" borderId="0" xfId="5" applyNumberFormat="1" applyFill="1" applyBorder="1" applyProtection="1"/>
    <xf numFmtId="167" fontId="2" fillId="2" borderId="21" xfId="5" applyNumberFormat="1" applyFill="1" applyBorder="1" applyProtection="1"/>
    <xf numFmtId="170" fontId="2" fillId="2" borderId="0" xfId="5" applyNumberFormat="1" applyFill="1" applyBorder="1" applyAlignment="1" applyProtection="1"/>
    <xf numFmtId="170" fontId="2" fillId="2" borderId="21" xfId="5" applyNumberFormat="1" applyFill="1" applyBorder="1" applyAlignment="1" applyProtection="1"/>
    <xf numFmtId="170" fontId="2" fillId="2" borderId="0" xfId="5" applyNumberFormat="1" applyFill="1" applyBorder="1" applyAlignment="1" applyProtection="1">
      <alignment vertical="center"/>
    </xf>
    <xf numFmtId="170" fontId="2" fillId="2" borderId="21" xfId="5" applyNumberFormat="1" applyFill="1" applyBorder="1" applyAlignment="1" applyProtection="1">
      <alignment vertical="center"/>
    </xf>
    <xf numFmtId="170" fontId="2" fillId="2" borderId="0" xfId="5" applyNumberFormat="1" applyFill="1" applyBorder="1" applyAlignment="1" applyProtection="1">
      <alignment horizontal="right" vertical="center"/>
    </xf>
    <xf numFmtId="170" fontId="2" fillId="2" borderId="0" xfId="5" applyNumberFormat="1" applyFill="1" applyBorder="1" applyAlignment="1" applyProtection="1">
      <alignment vertical="top"/>
    </xf>
    <xf numFmtId="170" fontId="2" fillId="2" borderId="21" xfId="5" applyNumberFormat="1" applyFill="1" applyBorder="1" applyAlignment="1" applyProtection="1">
      <alignment vertical="top"/>
    </xf>
    <xf numFmtId="168" fontId="2" fillId="2" borderId="0" xfId="5" applyFill="1" applyBorder="1"/>
    <xf numFmtId="168" fontId="2" fillId="2" borderId="0" xfId="5" applyFill="1" applyBorder="1" applyAlignment="1">
      <alignment vertical="top"/>
    </xf>
    <xf numFmtId="170" fontId="2" fillId="2" borderId="0" xfId="5" applyNumberFormat="1" applyFont="1" applyFill="1" applyBorder="1" applyAlignment="1" applyProtection="1">
      <alignment vertical="top"/>
    </xf>
    <xf numFmtId="170" fontId="10" fillId="2" borderId="0" xfId="5" applyNumberFormat="1" applyFont="1" applyFill="1" applyBorder="1" applyAlignment="1" applyProtection="1">
      <alignment vertical="top"/>
    </xf>
    <xf numFmtId="170" fontId="10" fillId="2" borderId="21" xfId="5" applyNumberFormat="1" applyFont="1" applyFill="1" applyBorder="1" applyAlignment="1" applyProtection="1">
      <alignment vertical="top"/>
    </xf>
    <xf numFmtId="168" fontId="2" fillId="2" borderId="24" xfId="5" applyFill="1" applyBorder="1" applyAlignment="1">
      <alignment vertical="center"/>
    </xf>
    <xf numFmtId="170" fontId="5" fillId="2" borderId="24" xfId="5" applyNumberFormat="1" applyFont="1" applyFill="1" applyBorder="1" applyAlignment="1" applyProtection="1">
      <alignment horizontal="center"/>
    </xf>
    <xf numFmtId="168" fontId="2" fillId="2" borderId="22" xfId="5" applyFill="1" applyBorder="1" applyAlignment="1">
      <alignment vertical="center"/>
    </xf>
    <xf numFmtId="170" fontId="5" fillId="2" borderId="22" xfId="5" applyNumberFormat="1" applyFont="1" applyFill="1" applyBorder="1" applyAlignment="1" applyProtection="1">
      <alignment horizontal="center" vertical="top"/>
    </xf>
    <xf numFmtId="170" fontId="5" fillId="2" borderId="10" xfId="5" applyNumberFormat="1" applyFont="1" applyFill="1" applyBorder="1" applyAlignment="1" applyProtection="1">
      <alignment horizontal="center" vertical="center"/>
    </xf>
    <xf numFmtId="168" fontId="5" fillId="2" borderId="29" xfId="5" applyFont="1" applyFill="1" applyBorder="1" applyAlignment="1" applyProtection="1">
      <alignment horizontal="center" vertical="center"/>
    </xf>
    <xf numFmtId="168" fontId="2" fillId="2" borderId="0" xfId="5" applyFill="1" applyAlignment="1">
      <alignment vertical="center"/>
    </xf>
    <xf numFmtId="170" fontId="2" fillId="2" borderId="22" xfId="5" applyNumberFormat="1" applyFill="1" applyBorder="1" applyAlignment="1" applyProtection="1">
      <alignment vertical="top"/>
    </xf>
    <xf numFmtId="0" fontId="0" fillId="2" borderId="0" xfId="0" applyFill="1" applyBorder="1" applyAlignment="1">
      <alignment horizontal="left"/>
    </xf>
    <xf numFmtId="168" fontId="2" fillId="2" borderId="26" xfId="5" applyFont="1" applyFill="1" applyBorder="1" applyAlignment="1" applyProtection="1">
      <alignment horizontal="center" vertical="top"/>
    </xf>
    <xf numFmtId="169" fontId="2" fillId="0" borderId="1" xfId="2" applyNumberFormat="1" applyBorder="1" applyAlignment="1" applyProtection="1">
      <alignment horizontal="center"/>
    </xf>
    <xf numFmtId="170" fontId="2" fillId="0" borderId="15" xfId="2" applyNumberFormat="1" applyFill="1" applyBorder="1" applyAlignment="1" applyProtection="1"/>
    <xf numFmtId="170" fontId="2" fillId="0" borderId="1" xfId="2" applyNumberFormat="1" applyBorder="1" applyAlignment="1" applyProtection="1"/>
    <xf numFmtId="170" fontId="2" fillId="0" borderId="1" xfId="2" applyNumberFormat="1" applyBorder="1" applyAlignment="1"/>
    <xf numFmtId="171" fontId="2" fillId="0" borderId="1" xfId="2" applyNumberFormat="1" applyFont="1" applyBorder="1" applyAlignment="1" applyProtection="1"/>
    <xf numFmtId="170" fontId="2" fillId="0" borderId="15" xfId="2" applyNumberFormat="1" applyFont="1" applyBorder="1" applyAlignment="1" applyProtection="1"/>
    <xf numFmtId="39" fontId="2" fillId="0" borderId="1" xfId="2" applyFill="1" applyBorder="1"/>
    <xf numFmtId="39" fontId="3" fillId="0" borderId="2" xfId="2" applyFont="1" applyFill="1" applyBorder="1" applyAlignment="1">
      <alignment horizontal="centerContinuous" vertical="top"/>
    </xf>
    <xf numFmtId="0" fontId="0" fillId="0" borderId="14" xfId="0" applyFill="1" applyBorder="1"/>
    <xf numFmtId="39" fontId="5" fillId="0" borderId="1" xfId="2" applyFont="1" applyFill="1" applyBorder="1" applyAlignment="1" applyProtection="1">
      <alignment horizontal="center"/>
    </xf>
    <xf numFmtId="39" fontId="2" fillId="0" borderId="2" xfId="2" applyFill="1" applyBorder="1" applyAlignment="1">
      <alignment vertical="top"/>
    </xf>
    <xf numFmtId="169" fontId="2" fillId="0" borderId="1" xfId="2" applyNumberFormat="1" applyFill="1" applyBorder="1" applyAlignment="1" applyProtection="1">
      <alignment horizontal="center"/>
    </xf>
    <xf numFmtId="173" fontId="0" fillId="0" borderId="0" xfId="0" applyNumberFormat="1" applyFill="1" applyBorder="1" applyAlignment="1"/>
    <xf numFmtId="0" fontId="0" fillId="0" borderId="0" xfId="0" applyFill="1"/>
    <xf numFmtId="171" fontId="2" fillId="0" borderId="1" xfId="2" applyNumberFormat="1" applyBorder="1" applyAlignment="1" applyProtection="1"/>
    <xf numFmtId="171" fontId="2" fillId="0" borderId="1" xfId="2" applyNumberFormat="1" applyBorder="1" applyAlignment="1"/>
    <xf numFmtId="171" fontId="2" fillId="0" borderId="15" xfId="2" applyNumberFormat="1" applyBorder="1" applyAlignment="1" applyProtection="1"/>
    <xf numFmtId="0" fontId="2" fillId="0" borderId="0" xfId="0" applyFont="1" applyBorder="1" applyAlignment="1">
      <alignment horizontal="left"/>
    </xf>
    <xf numFmtId="39" fontId="3" fillId="0" borderId="3" xfId="2" applyFont="1" applyFill="1" applyBorder="1" applyAlignment="1">
      <alignment horizontal="centerContinuous" vertical="top"/>
    </xf>
    <xf numFmtId="39" fontId="5" fillId="0" borderId="5" xfId="2" applyFont="1" applyFill="1" applyBorder="1" applyAlignment="1" applyProtection="1">
      <alignment horizontal="center" vertical="center"/>
    </xf>
    <xf numFmtId="39" fontId="5" fillId="0" borderId="1" xfId="2" applyFont="1" applyFill="1" applyBorder="1" applyAlignment="1" applyProtection="1">
      <alignment horizontal="center" vertical="center"/>
    </xf>
    <xf numFmtId="39" fontId="5" fillId="0" borderId="1" xfId="2" applyFont="1" applyFill="1" applyBorder="1" applyAlignment="1" applyProtection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170" fontId="2" fillId="0" borderId="1" xfId="2" applyNumberFormat="1" applyFill="1" applyBorder="1" applyAlignment="1"/>
    <xf numFmtId="170" fontId="2" fillId="0" borderId="14" xfId="2" applyNumberFormat="1" applyFill="1" applyBorder="1" applyAlignment="1">
      <alignment vertical="top"/>
    </xf>
    <xf numFmtId="169" fontId="0" fillId="0" borderId="0" xfId="1" applyNumberFormat="1" applyFont="1" applyFill="1" applyBorder="1" applyAlignment="1"/>
    <xf numFmtId="169" fontId="2" fillId="0" borderId="3" xfId="2" applyNumberFormat="1" applyBorder="1" applyAlignment="1" applyProtection="1">
      <alignment horizontal="center"/>
    </xf>
    <xf numFmtId="169" fontId="2" fillId="0" borderId="3" xfId="2" applyNumberFormat="1" applyFill="1" applyBorder="1" applyAlignment="1" applyProtection="1">
      <alignment horizontal="center"/>
    </xf>
    <xf numFmtId="170" fontId="2" fillId="0" borderId="30" xfId="2" applyNumberFormat="1" applyFill="1" applyBorder="1" applyAlignment="1" applyProtection="1"/>
    <xf numFmtId="170" fontId="2" fillId="0" borderId="3" xfId="2" applyNumberFormat="1" applyFill="1" applyBorder="1" applyAlignment="1"/>
    <xf numFmtId="170" fontId="2" fillId="0" borderId="3" xfId="2" applyNumberFormat="1" applyBorder="1" applyAlignment="1"/>
    <xf numFmtId="171" fontId="2" fillId="0" borderId="3" xfId="2" applyNumberFormat="1" applyBorder="1" applyAlignment="1" applyProtection="1"/>
    <xf numFmtId="171" fontId="2" fillId="0" borderId="30" xfId="2" applyNumberFormat="1" applyBorder="1" applyAlignment="1" applyProtection="1"/>
    <xf numFmtId="168" fontId="3" fillId="2" borderId="0" xfId="5" applyFont="1" applyFill="1" applyAlignment="1">
      <alignment horizontal="center" vertical="top"/>
    </xf>
    <xf numFmtId="168" fontId="5" fillId="2" borderId="24" xfId="5" applyFont="1" applyFill="1" applyBorder="1" applyAlignment="1" applyProtection="1">
      <alignment horizontal="center" vertical="center"/>
    </xf>
    <xf numFmtId="167" fontId="2" fillId="2" borderId="0" xfId="5" applyNumberFormat="1" applyFill="1" applyBorder="1" applyAlignment="1" applyProtection="1">
      <alignment horizontal="center"/>
    </xf>
    <xf numFmtId="167" fontId="2" fillId="2" borderId="21" xfId="5" applyNumberFormat="1" applyFill="1" applyBorder="1" applyAlignment="1" applyProtection="1">
      <alignment horizontal="center"/>
    </xf>
    <xf numFmtId="168" fontId="5" fillId="2" borderId="26" xfId="5" applyFont="1" applyFill="1" applyBorder="1" applyAlignment="1" applyProtection="1">
      <alignment horizontal="center" vertical="center"/>
    </xf>
    <xf numFmtId="175" fontId="5" fillId="2" borderId="26" xfId="5" applyNumberFormat="1" applyFont="1" applyFill="1" applyBorder="1" applyAlignment="1" applyProtection="1">
      <alignment horizontal="center" vertical="center"/>
    </xf>
    <xf numFmtId="172" fontId="0" fillId="0" borderId="0" xfId="0" applyNumberFormat="1" applyFill="1" applyBorder="1" applyAlignment="1"/>
    <xf numFmtId="171" fontId="2" fillId="0" borderId="3" xfId="2" applyNumberFormat="1" applyFill="1" applyBorder="1" applyAlignment="1" applyProtection="1"/>
    <xf numFmtId="171" fontId="2" fillId="0" borderId="30" xfId="2" applyNumberFormat="1" applyFill="1" applyBorder="1" applyAlignment="1" applyProtection="1"/>
    <xf numFmtId="170" fontId="2" fillId="0" borderId="3" xfId="2" applyNumberFormat="1" applyFont="1" applyFill="1" applyBorder="1" applyAlignment="1"/>
    <xf numFmtId="171" fontId="2" fillId="0" borderId="3" xfId="2" applyNumberFormat="1" applyFont="1" applyFill="1" applyBorder="1" applyAlignment="1" applyProtection="1"/>
    <xf numFmtId="171" fontId="2" fillId="0" borderId="30" xfId="2" applyNumberFormat="1" applyFont="1" applyFill="1" applyBorder="1" applyAlignment="1" applyProtection="1"/>
    <xf numFmtId="170" fontId="2" fillId="0" borderId="21" xfId="5" applyNumberFormat="1" applyFill="1" applyBorder="1" applyAlignment="1" applyProtection="1">
      <alignment vertical="top"/>
    </xf>
    <xf numFmtId="168" fontId="3" fillId="2" borderId="0" xfId="5" applyFont="1" applyFill="1" applyAlignment="1" applyProtection="1">
      <alignment horizontal="center" vertical="center"/>
    </xf>
    <xf numFmtId="168" fontId="5" fillId="2" borderId="23" xfId="5" applyFont="1" applyFill="1" applyBorder="1" applyAlignment="1">
      <alignment vertical="center"/>
    </xf>
    <xf numFmtId="168" fontId="5" fillId="2" borderId="27" xfId="5" applyFont="1" applyFill="1" applyBorder="1" applyAlignment="1" applyProtection="1">
      <alignment horizontal="center" vertical="center"/>
    </xf>
    <xf numFmtId="0" fontId="5" fillId="2" borderId="26" xfId="5" applyNumberFormat="1" applyFont="1" applyFill="1" applyBorder="1" applyAlignment="1" applyProtection="1">
      <alignment horizontal="center" vertical="center"/>
    </xf>
    <xf numFmtId="39" fontId="2" fillId="0" borderId="13" xfId="2" applyFont="1" applyBorder="1" applyAlignment="1" applyProtection="1">
      <alignment horizontal="center" vertical="center"/>
    </xf>
    <xf numFmtId="168" fontId="2" fillId="2" borderId="26" xfId="5" applyFont="1" applyFill="1" applyBorder="1" applyAlignment="1" applyProtection="1">
      <alignment horizontal="center" vertical="center"/>
    </xf>
    <xf numFmtId="168" fontId="5" fillId="2" borderId="23" xfId="5" applyFont="1" applyFill="1" applyBorder="1" applyAlignment="1">
      <alignment horizontal="center" vertical="center"/>
    </xf>
    <xf numFmtId="39" fontId="2" fillId="2" borderId="0" xfId="2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39" fontId="2" fillId="0" borderId="13" xfId="2" applyNumberFormat="1" applyFill="1" applyBorder="1" applyAlignment="1">
      <alignment horizontal="center"/>
    </xf>
    <xf numFmtId="168" fontId="2" fillId="2" borderId="22" xfId="5" applyFill="1" applyBorder="1" applyAlignment="1">
      <alignment vertical="top"/>
    </xf>
    <xf numFmtId="0" fontId="0" fillId="3" borderId="0" xfId="0" applyFill="1"/>
    <xf numFmtId="0" fontId="0" fillId="3" borderId="0" xfId="0" applyFill="1" applyAlignment="1">
      <alignment vertical="center"/>
    </xf>
    <xf numFmtId="173" fontId="0" fillId="0" borderId="0" xfId="0" applyNumberFormat="1"/>
    <xf numFmtId="176" fontId="2" fillId="0" borderId="13" xfId="2" applyNumberFormat="1" applyFill="1" applyBorder="1" applyAlignment="1">
      <alignment horizontal="center"/>
    </xf>
    <xf numFmtId="176" fontId="2" fillId="0" borderId="13" xfId="2" applyNumberFormat="1" applyFont="1" applyFill="1" applyBorder="1" applyAlignment="1">
      <alignment horizontal="center"/>
    </xf>
    <xf numFmtId="39" fontId="2" fillId="0" borderId="13" xfId="2" applyFont="1" applyFill="1" applyBorder="1" applyAlignment="1" applyProtection="1">
      <alignment horizontal="center"/>
    </xf>
    <xf numFmtId="170" fontId="2" fillId="0" borderId="20" xfId="2" applyNumberFormat="1" applyFill="1" applyBorder="1" applyAlignment="1" applyProtection="1"/>
    <xf numFmtId="39" fontId="2" fillId="0" borderId="32" xfId="2" applyFont="1" applyBorder="1" applyAlignment="1" applyProtection="1">
      <alignment horizontal="center"/>
    </xf>
    <xf numFmtId="39" fontId="2" fillId="0" borderId="31" xfId="2" applyFont="1" applyBorder="1" applyAlignment="1" applyProtection="1">
      <alignment horizontal="center"/>
    </xf>
    <xf numFmtId="169" fontId="2" fillId="0" borderId="33" xfId="2" applyNumberFormat="1" applyFill="1" applyBorder="1" applyAlignment="1" applyProtection="1">
      <alignment horizontal="center"/>
    </xf>
    <xf numFmtId="170" fontId="2" fillId="0" borderId="33" xfId="2" applyNumberFormat="1" applyFill="1" applyBorder="1" applyAlignment="1"/>
    <xf numFmtId="171" fontId="2" fillId="0" borderId="33" xfId="2" applyNumberFormat="1" applyFill="1" applyBorder="1" applyAlignment="1" applyProtection="1"/>
    <xf numFmtId="171" fontId="2" fillId="0" borderId="34" xfId="2" applyNumberFormat="1" applyFill="1" applyBorder="1" applyAlignment="1" applyProtection="1"/>
    <xf numFmtId="39" fontId="2" fillId="0" borderId="31" xfId="2" applyFont="1" applyBorder="1" applyAlignment="1" applyProtection="1">
      <alignment horizontal="center" vertical="center"/>
    </xf>
    <xf numFmtId="39" fontId="2" fillId="0" borderId="32" xfId="2" applyFont="1" applyBorder="1" applyAlignment="1" applyProtection="1">
      <alignment horizontal="center" vertical="center"/>
    </xf>
    <xf numFmtId="177" fontId="0" fillId="0" borderId="0" xfId="0" applyNumberFormat="1"/>
    <xf numFmtId="178" fontId="0" fillId="0" borderId="0" xfId="0" applyNumberFormat="1"/>
    <xf numFmtId="170" fontId="2" fillId="0" borderId="22" xfId="5" applyNumberFormat="1" applyFill="1" applyBorder="1" applyAlignment="1" applyProtection="1">
      <alignment vertical="top"/>
    </xf>
    <xf numFmtId="170" fontId="2" fillId="0" borderId="22" xfId="5" applyNumberFormat="1" applyFont="1" applyFill="1" applyBorder="1" applyAlignment="1" applyProtection="1">
      <alignment vertical="top"/>
    </xf>
    <xf numFmtId="170" fontId="2" fillId="0" borderId="28" xfId="5" applyNumberFormat="1" applyFill="1" applyBorder="1" applyAlignment="1" applyProtection="1">
      <alignment vertical="top"/>
    </xf>
    <xf numFmtId="39" fontId="4" fillId="0" borderId="1" xfId="2" applyFont="1" applyBorder="1" applyAlignment="1" applyProtection="1">
      <alignment horizontal="center"/>
    </xf>
    <xf numFmtId="39" fontId="3" fillId="0" borderId="1" xfId="2" applyFont="1" applyBorder="1" applyAlignment="1" applyProtection="1">
      <alignment horizontal="center" vertical="top"/>
    </xf>
    <xf numFmtId="39" fontId="5" fillId="0" borderId="5" xfId="2" applyFont="1" applyBorder="1" applyAlignment="1" applyProtection="1">
      <alignment horizontal="center" vertical="center" wrapText="1"/>
    </xf>
    <xf numFmtId="39" fontId="5" fillId="0" borderId="1" xfId="2" applyFont="1" applyBorder="1" applyAlignment="1" applyProtection="1">
      <alignment horizontal="center" vertical="center" wrapText="1"/>
    </xf>
    <xf numFmtId="39" fontId="5" fillId="0" borderId="6" xfId="2" applyFont="1" applyBorder="1" applyAlignment="1" applyProtection="1">
      <alignment horizontal="center" vertical="center"/>
    </xf>
    <xf numFmtId="39" fontId="5" fillId="0" borderId="9" xfId="2" applyFont="1" applyBorder="1" applyAlignment="1" applyProtection="1">
      <alignment horizontal="center" vertical="center"/>
    </xf>
    <xf numFmtId="39" fontId="5" fillId="0" borderId="10" xfId="2" applyFont="1" applyBorder="1" applyAlignment="1" applyProtection="1">
      <alignment horizontal="center" vertical="center"/>
    </xf>
    <xf numFmtId="39" fontId="5" fillId="0" borderId="5" xfId="2" applyFont="1" applyBorder="1" applyAlignment="1" applyProtection="1">
      <alignment horizontal="center" vertical="top" wrapText="1"/>
    </xf>
    <xf numFmtId="39" fontId="5" fillId="0" borderId="1" xfId="2" applyFont="1" applyBorder="1" applyAlignment="1" applyProtection="1">
      <alignment horizontal="center" vertical="top" wrapText="1"/>
    </xf>
    <xf numFmtId="39" fontId="5" fillId="0" borderId="2" xfId="2" applyFont="1" applyBorder="1" applyAlignment="1" applyProtection="1">
      <alignment horizontal="center" vertical="top" wrapText="1"/>
    </xf>
    <xf numFmtId="39" fontId="5" fillId="0" borderId="7" xfId="2" applyFont="1" applyBorder="1" applyAlignment="1">
      <alignment horizontal="center" vertical="top" wrapText="1"/>
    </xf>
    <xf numFmtId="39" fontId="5" fillId="0" borderId="15" xfId="2" applyFont="1" applyBorder="1" applyAlignment="1">
      <alignment horizontal="center" vertical="top" wrapText="1"/>
    </xf>
    <xf numFmtId="39" fontId="5" fillId="0" borderId="20" xfId="2" applyFont="1" applyBorder="1" applyAlignment="1">
      <alignment horizontal="center" vertical="top" wrapText="1"/>
    </xf>
    <xf numFmtId="168" fontId="5" fillId="2" borderId="10" xfId="5" applyFont="1" applyFill="1" applyBorder="1" applyAlignment="1" applyProtection="1">
      <alignment horizontal="center" vertical="center"/>
    </xf>
    <xf numFmtId="168" fontId="5" fillId="2" borderId="29" xfId="5" applyFont="1" applyFill="1" applyBorder="1" applyAlignment="1" applyProtection="1">
      <alignment horizontal="center" vertical="center"/>
    </xf>
    <xf numFmtId="170" fontId="5" fillId="2" borderId="10" xfId="5" applyNumberFormat="1" applyFont="1" applyFill="1" applyBorder="1" applyAlignment="1" applyProtection="1">
      <alignment horizontal="center" vertical="center"/>
    </xf>
    <xf numFmtId="168" fontId="4" fillId="2" borderId="0" xfId="5" applyFont="1" applyFill="1" applyAlignment="1">
      <alignment horizontal="center"/>
    </xf>
    <xf numFmtId="168" fontId="3" fillId="2" borderId="0" xfId="5" applyFont="1" applyFill="1" applyAlignment="1" applyProtection="1">
      <alignment horizontal="center" vertical="top"/>
    </xf>
  </cellXfs>
  <cellStyles count="7">
    <cellStyle name="Comma 2" xfId="4"/>
    <cellStyle name="Normal" xfId="0" builtinId="0"/>
    <cellStyle name="Normal 2" xfId="3"/>
    <cellStyle name="Normal_A_DCI" xfId="5"/>
    <cellStyle name="Normal_A_MS" xfId="2"/>
    <cellStyle name="Normal_A_MSCDL" xfId="6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ore%20Data/Monetary%20Sector/Databases/Financial%20Aggregat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hart1"/>
      <sheetName val="Chart2"/>
      <sheetName val="Chart3"/>
      <sheetName val="Chart4"/>
      <sheetName val="Database_BS"/>
      <sheetName val="Chart5"/>
      <sheetName val="Chart6"/>
      <sheetName val="Chart7"/>
      <sheetName val="Chart8"/>
      <sheetName val="Chart9"/>
      <sheetName val="Database_Tonga1"/>
      <sheetName val="Database"/>
      <sheetName val="Database_TONGAN"/>
      <sheetName val="Database_Tonga2"/>
      <sheetName val="Summary Basic"/>
      <sheetName val="Summary Basic (Tonga)"/>
      <sheetName val="Summary Detail"/>
      <sheetName val="Summary Annual"/>
      <sheetName val="Summary Basic_template"/>
      <sheetName val="Summary Annual (Tonga)"/>
      <sheetName val="Monetary Program"/>
      <sheetName val="Monetary Program (Forecast)"/>
      <sheetName val="Money Supply Breakdown"/>
      <sheetName val="Money Supply Breakdown_new"/>
      <sheetName val="Liquidity"/>
      <sheetName val="Liquidity_new"/>
      <sheetName val="Chart31"/>
      <sheetName val="Database Tonga2025"/>
      <sheetName val="Chart32"/>
      <sheetName val="Database_TONGA"/>
      <sheetName val="Chart33"/>
      <sheetName val="Chart34"/>
      <sheetName val="Database_Tonga24"/>
      <sheetName val="Chart35"/>
      <sheetName val="Chart36"/>
      <sheetName val="Chart37"/>
      <sheetName val="Chart38"/>
      <sheetName val="Govt Net Deposits Data"/>
      <sheetName val="Chart39"/>
      <sheetName val="Chart40"/>
      <sheetName val="Chart41"/>
      <sheetName val="Chart42"/>
      <sheetName val="Quarterly Database"/>
      <sheetName val="Summary Basic (Translation)"/>
      <sheetName val="MPS Table"/>
      <sheetName val="for recon with acc data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>
        <row r="12">
          <cell r="H12">
            <v>86.794691</v>
          </cell>
          <cell r="I12">
            <v>21.942691</v>
          </cell>
          <cell r="J12">
            <v>6.8296909999999995</v>
          </cell>
          <cell r="K12">
            <v>15.113</v>
          </cell>
          <cell r="L12">
            <v>64.852000000000004</v>
          </cell>
          <cell r="M12"/>
          <cell r="N12">
            <v>35.788107000000004</v>
          </cell>
          <cell r="O12">
            <v>36.150632000000002</v>
          </cell>
          <cell r="V12">
            <v>5.1520000000000001</v>
          </cell>
          <cell r="W12">
            <v>-5.5145249999999999</v>
          </cell>
          <cell r="AA12">
            <v>77.490634999999997</v>
          </cell>
          <cell r="AC12">
            <v>2.6026350000000011</v>
          </cell>
          <cell r="AK12">
            <v>1.579</v>
          </cell>
          <cell r="AN12">
            <v>77.581000000000003</v>
          </cell>
          <cell r="AQ12">
            <v>-4.2720000000000002</v>
          </cell>
          <cell r="AU12">
            <v>-26.484051000000001</v>
          </cell>
          <cell r="AV12"/>
          <cell r="AW12"/>
        </row>
        <row r="15">
          <cell r="H15">
            <v>89.70684700000001</v>
          </cell>
          <cell r="I15">
            <v>24.664847000000002</v>
          </cell>
          <cell r="J15">
            <v>7.3178469999999995</v>
          </cell>
          <cell r="K15">
            <v>17.347000000000001</v>
          </cell>
          <cell r="L15">
            <v>65.042000000000002</v>
          </cell>
          <cell r="M15"/>
          <cell r="N15">
            <v>34.428746000000004</v>
          </cell>
          <cell r="O15">
            <v>34.132328999999999</v>
          </cell>
          <cell r="V15">
            <v>5.5810000000000004</v>
          </cell>
          <cell r="W15">
            <v>-5.2845829999999996</v>
          </cell>
          <cell r="AA15">
            <v>79.472786999999997</v>
          </cell>
          <cell r="AC15">
            <v>1.3837869999999999</v>
          </cell>
          <cell r="AK15">
            <v>1.472</v>
          </cell>
          <cell r="AN15">
            <v>80.834999999999994</v>
          </cell>
          <cell r="AQ15">
            <v>-4.218</v>
          </cell>
          <cell r="AU15">
            <v>-24.19468599999999</v>
          </cell>
          <cell r="AV15"/>
          <cell r="AW15"/>
        </row>
        <row r="18">
          <cell r="H18">
            <v>98.191618000000005</v>
          </cell>
          <cell r="I18">
            <v>26.713618</v>
          </cell>
          <cell r="J18">
            <v>7.494618</v>
          </cell>
          <cell r="K18">
            <v>19.219000000000001</v>
          </cell>
          <cell r="L18">
            <v>71.478000000000009</v>
          </cell>
          <cell r="M18"/>
          <cell r="N18">
            <v>32.410797000000002</v>
          </cell>
          <cell r="O18">
            <v>34.166499999999999</v>
          </cell>
          <cell r="V18">
            <v>6.5519999999999996</v>
          </cell>
          <cell r="W18">
            <v>-8.3077030000000001</v>
          </cell>
          <cell r="AA18">
            <v>89.814962999999992</v>
          </cell>
          <cell r="AC18">
            <v>5.4719630000000024</v>
          </cell>
          <cell r="AK18">
            <v>1.4370000000000001</v>
          </cell>
          <cell r="AN18">
            <v>84.8</v>
          </cell>
          <cell r="AQ18">
            <v>-1.8939999999999999</v>
          </cell>
          <cell r="AU18">
            <v>-24.034141999999989</v>
          </cell>
          <cell r="AV18"/>
          <cell r="AW18"/>
        </row>
        <row r="21">
          <cell r="H21">
            <v>101.475618</v>
          </cell>
          <cell r="I21">
            <v>29.914618000000001</v>
          </cell>
          <cell r="J21">
            <v>9.4426179999999995</v>
          </cell>
          <cell r="K21">
            <v>20.472000000000001</v>
          </cell>
          <cell r="L21">
            <v>71.560999999999993</v>
          </cell>
          <cell r="M21"/>
          <cell r="N21">
            <v>32.084150999999999</v>
          </cell>
          <cell r="O21">
            <v>34.581327999999999</v>
          </cell>
          <cell r="V21">
            <v>4.8049999999999997</v>
          </cell>
          <cell r="W21">
            <v>-7.3021769999999995</v>
          </cell>
          <cell r="AA21">
            <v>87.744747000000004</v>
          </cell>
          <cell r="AC21">
            <v>0.93574699999999922</v>
          </cell>
          <cell r="AK21">
            <v>1.3919999999999999</v>
          </cell>
          <cell r="AN21">
            <v>87.42</v>
          </cell>
          <cell r="AQ21">
            <v>-2.0030000000000001</v>
          </cell>
          <cell r="AU21">
            <v>-18.353279999999998</v>
          </cell>
          <cell r="AV21"/>
          <cell r="AW21"/>
        </row>
        <row r="24">
          <cell r="H24">
            <v>94.803020000000018</v>
          </cell>
          <cell r="I24">
            <v>26.615020000000001</v>
          </cell>
          <cell r="J24">
            <v>8.1430199999999999</v>
          </cell>
          <cell r="K24">
            <v>18.472000000000001</v>
          </cell>
          <cell r="L24">
            <v>68.188000000000017</v>
          </cell>
          <cell r="M24"/>
          <cell r="N24">
            <v>26.013956</v>
          </cell>
          <cell r="O24">
            <v>32.107965</v>
          </cell>
          <cell r="V24">
            <v>3.585</v>
          </cell>
          <cell r="W24">
            <v>-9.6790090000000006</v>
          </cell>
          <cell r="AA24">
            <v>89.573311000000004</v>
          </cell>
          <cell r="AC24">
            <v>0.95731100000000069</v>
          </cell>
          <cell r="AK24">
            <v>1.702</v>
          </cell>
          <cell r="AN24">
            <v>88.811000000000007</v>
          </cell>
          <cell r="AQ24">
            <v>-1.897</v>
          </cell>
          <cell r="AU24">
            <v>-20.784246999999979</v>
          </cell>
          <cell r="AV24"/>
          <cell r="AW24"/>
        </row>
        <row r="27">
          <cell r="H27">
            <v>97.189998000000003</v>
          </cell>
          <cell r="I27">
            <v>27.819997999999998</v>
          </cell>
          <cell r="J27">
            <v>8.0399979999999989</v>
          </cell>
          <cell r="K27">
            <v>19.78</v>
          </cell>
          <cell r="L27">
            <v>69.37</v>
          </cell>
          <cell r="M27"/>
          <cell r="N27">
            <v>26.853230999999997</v>
          </cell>
          <cell r="O27">
            <v>26.240378999999997</v>
          </cell>
          <cell r="V27">
            <v>5.7210000000000001</v>
          </cell>
          <cell r="W27">
            <v>-5.1081479999999999</v>
          </cell>
          <cell r="AA27">
            <v>89.182791999999992</v>
          </cell>
          <cell r="AC27">
            <v>0.78279200000000237</v>
          </cell>
          <cell r="AK27">
            <v>2.2770000000000001</v>
          </cell>
          <cell r="AN27">
            <v>86.468999999999994</v>
          </cell>
          <cell r="AQ27">
            <v>-0.34599999999999997</v>
          </cell>
          <cell r="AU27">
            <v>-18.846024999999983</v>
          </cell>
          <cell r="AV27"/>
          <cell r="AW27"/>
        </row>
        <row r="30">
          <cell r="H30">
            <v>115.6074</v>
          </cell>
          <cell r="I30">
            <v>31.542400000000001</v>
          </cell>
          <cell r="J30">
            <v>8.7233999999999998</v>
          </cell>
          <cell r="K30">
            <v>22.818999999999999</v>
          </cell>
          <cell r="L30">
            <v>84.064999999999998</v>
          </cell>
          <cell r="M30"/>
          <cell r="N30">
            <v>26.411395999999996</v>
          </cell>
          <cell r="O30">
            <v>19.944395999999998</v>
          </cell>
          <cell r="V30">
            <v>19.847999999999999</v>
          </cell>
          <cell r="W30">
            <v>-13.381</v>
          </cell>
          <cell r="AA30">
            <v>110.827838</v>
          </cell>
          <cell r="AC30">
            <v>5.0528380000000013</v>
          </cell>
          <cell r="AK30">
            <v>2.649</v>
          </cell>
          <cell r="AN30">
            <v>100.867</v>
          </cell>
          <cell r="AQ30">
            <v>2.2589999999999999</v>
          </cell>
          <cell r="AU30">
            <v>-21.631833999999998</v>
          </cell>
          <cell r="AV30"/>
          <cell r="AW30"/>
        </row>
        <row r="33">
          <cell r="H33">
            <v>120.920918</v>
          </cell>
          <cell r="I33">
            <v>33.071918000000004</v>
          </cell>
          <cell r="J33">
            <v>9.9659180000000003</v>
          </cell>
          <cell r="K33">
            <v>23.106000000000002</v>
          </cell>
          <cell r="L33">
            <v>87.849000000000004</v>
          </cell>
          <cell r="M33"/>
          <cell r="N33">
            <v>34.511192000000008</v>
          </cell>
          <cell r="O33">
            <v>25.974192000000002</v>
          </cell>
          <cell r="V33">
            <v>22.733000000000001</v>
          </cell>
          <cell r="W33">
            <v>-14.196</v>
          </cell>
          <cell r="AA33">
            <v>108.849204</v>
          </cell>
          <cell r="AC33">
            <v>2.611203999999999</v>
          </cell>
          <cell r="AK33">
            <v>3.0680000000000001</v>
          </cell>
          <cell r="AN33">
            <v>102.774</v>
          </cell>
          <cell r="AQ33">
            <v>0.39600000000000002</v>
          </cell>
          <cell r="AU33">
            <v>-22.439478000000008</v>
          </cell>
          <cell r="AV33"/>
          <cell r="AW33"/>
        </row>
        <row r="36">
          <cell r="H36">
            <v>116.561914</v>
          </cell>
          <cell r="I36">
            <v>29.877914000000001</v>
          </cell>
          <cell r="J36">
            <v>8.9019140000000014</v>
          </cell>
          <cell r="K36">
            <v>20.975999999999999</v>
          </cell>
          <cell r="L36">
            <v>86.683999999999997</v>
          </cell>
          <cell r="M36"/>
          <cell r="N36">
            <v>28.694179000000005</v>
          </cell>
          <cell r="O36">
            <v>24.533179000000001</v>
          </cell>
          <cell r="V36">
            <v>18.387</v>
          </cell>
          <cell r="W36">
            <v>-14.226000000000001</v>
          </cell>
          <cell r="AA36">
            <v>110.88216643677767</v>
          </cell>
          <cell r="AC36">
            <v>3.4241664367776607</v>
          </cell>
          <cell r="AK36">
            <v>3.056</v>
          </cell>
          <cell r="AN36">
            <v>103.943</v>
          </cell>
          <cell r="AQ36">
            <v>0.45900000000000002</v>
          </cell>
          <cell r="AU36">
            <v>-23.01443143677767</v>
          </cell>
          <cell r="AV36"/>
          <cell r="AW36"/>
        </row>
        <row r="39">
          <cell r="H39">
            <v>123.044398</v>
          </cell>
          <cell r="I39">
            <v>32.998398000000002</v>
          </cell>
          <cell r="J39">
            <v>10.352397999999999</v>
          </cell>
          <cell r="K39">
            <v>22.646000000000001</v>
          </cell>
          <cell r="L39">
            <v>90.046000000000006</v>
          </cell>
          <cell r="M39"/>
          <cell r="N39">
            <v>32.765209000000006</v>
          </cell>
          <cell r="O39">
            <v>25.806208999999999</v>
          </cell>
          <cell r="V39">
            <v>20.731000000000002</v>
          </cell>
          <cell r="W39">
            <v>-13.772</v>
          </cell>
          <cell r="AA39">
            <v>119.0904140496755</v>
          </cell>
          <cell r="AC39">
            <v>4.2644140496754979</v>
          </cell>
          <cell r="AK39">
            <v>5.4180000000000001</v>
          </cell>
          <cell r="AN39">
            <v>107.886</v>
          </cell>
          <cell r="AQ39">
            <v>1.522</v>
          </cell>
          <cell r="AU39">
            <v>-28.8112250496755</v>
          </cell>
          <cell r="AV39"/>
          <cell r="AW39"/>
        </row>
        <row r="42">
          <cell r="H42">
            <v>134.02589399999999</v>
          </cell>
          <cell r="I42">
            <v>34.274894000000003</v>
          </cell>
          <cell r="J42">
            <v>10.560894000000001</v>
          </cell>
          <cell r="K42">
            <v>23.713999999999999</v>
          </cell>
          <cell r="L42">
            <v>99.751000000000005</v>
          </cell>
          <cell r="M42"/>
          <cell r="N42">
            <v>33.132459000000004</v>
          </cell>
          <cell r="O42">
            <v>22.534459000000002</v>
          </cell>
          <cell r="V42">
            <v>24.163</v>
          </cell>
          <cell r="W42">
            <v>-13.565</v>
          </cell>
          <cell r="AA42">
            <v>132.75472305793414</v>
          </cell>
          <cell r="AC42">
            <v>13.162723057934141</v>
          </cell>
          <cell r="AK42">
            <v>5.6269999999999998</v>
          </cell>
          <cell r="AN42">
            <v>112.568</v>
          </cell>
          <cell r="AQ42">
            <v>1.397</v>
          </cell>
          <cell r="AU42">
            <v>-31.861288057934161</v>
          </cell>
          <cell r="AV42"/>
          <cell r="AW42"/>
        </row>
        <row r="45">
          <cell r="H45">
            <v>139.74312599999999</v>
          </cell>
          <cell r="I45">
            <v>41.744126000000001</v>
          </cell>
          <cell r="J45">
            <v>11.355126</v>
          </cell>
          <cell r="K45">
            <v>30.388999999999999</v>
          </cell>
          <cell r="L45">
            <v>97.998999999999995</v>
          </cell>
          <cell r="M45"/>
          <cell r="N45">
            <v>40.906387549999998</v>
          </cell>
          <cell r="O45">
            <v>29.704104999999998</v>
          </cell>
          <cell r="V45">
            <v>22.728999999999999</v>
          </cell>
          <cell r="W45">
            <v>-11.52671745</v>
          </cell>
          <cell r="AA45">
            <v>131.7788042175207</v>
          </cell>
          <cell r="AC45">
            <v>12.21080421752068</v>
          </cell>
          <cell r="AK45">
            <v>6.1109999999999998</v>
          </cell>
          <cell r="AN45">
            <v>112.83499999999999</v>
          </cell>
          <cell r="AQ45">
            <v>0.622</v>
          </cell>
          <cell r="AU45">
            <v>-32.942065767520717</v>
          </cell>
          <cell r="AV45"/>
          <cell r="AW45"/>
        </row>
        <row r="48">
          <cell r="H48">
            <v>132.17613399999999</v>
          </cell>
          <cell r="I48">
            <v>38.856133999999997</v>
          </cell>
          <cell r="J48">
            <v>10.839134</v>
          </cell>
          <cell r="K48">
            <v>28.016999999999999</v>
          </cell>
          <cell r="L48">
            <v>93.32</v>
          </cell>
          <cell r="M48"/>
          <cell r="N48">
            <v>29.816924999999998</v>
          </cell>
          <cell r="O48">
            <v>25.029925000000002</v>
          </cell>
          <cell r="V48">
            <v>13.776999999999999</v>
          </cell>
          <cell r="W48">
            <v>-8.99</v>
          </cell>
          <cell r="AA48">
            <v>132.05827187568016</v>
          </cell>
          <cell r="AC48">
            <v>9.3682718756801506</v>
          </cell>
          <cell r="AK48">
            <v>9.266</v>
          </cell>
          <cell r="AN48">
            <v>113.86799999999999</v>
          </cell>
          <cell r="AQ48">
            <v>-0.44400000000000001</v>
          </cell>
          <cell r="AU48">
            <v>-29.69906287568017</v>
          </cell>
          <cell r="AV48"/>
          <cell r="AW48"/>
        </row>
        <row r="51">
          <cell r="H51">
            <v>132.67171500000001</v>
          </cell>
          <cell r="I51">
            <v>42.364714999999997</v>
          </cell>
          <cell r="J51">
            <v>11.923715</v>
          </cell>
          <cell r="K51">
            <v>30.440999999999999</v>
          </cell>
          <cell r="L51">
            <v>90.307000000000016</v>
          </cell>
          <cell r="M51"/>
          <cell r="N51">
            <v>33.524782000000002</v>
          </cell>
          <cell r="O51">
            <v>39.564499000000005</v>
          </cell>
          <cell r="V51">
            <v>5.0190000000000001</v>
          </cell>
          <cell r="W51">
            <v>-11.058717</v>
          </cell>
          <cell r="AA51">
            <v>130.20322025947002</v>
          </cell>
          <cell r="AC51">
            <v>-5.6377797405299965</v>
          </cell>
          <cell r="AK51">
            <v>9.4529999999999994</v>
          </cell>
          <cell r="AN51">
            <v>125.196</v>
          </cell>
          <cell r="AQ51">
            <v>1.1919999999999999</v>
          </cell>
          <cell r="AU51">
            <v>-31.056287259470011</v>
          </cell>
          <cell r="AV51"/>
          <cell r="AW51"/>
        </row>
        <row r="54">
          <cell r="H54">
            <v>136.03094299999998</v>
          </cell>
          <cell r="I54">
            <v>40.796942999999999</v>
          </cell>
          <cell r="J54">
            <v>10.366942999999999</v>
          </cell>
          <cell r="K54">
            <v>30.43</v>
          </cell>
          <cell r="L54">
            <v>95.233999999999995</v>
          </cell>
          <cell r="M54"/>
          <cell r="N54">
            <v>26.605691549999996</v>
          </cell>
          <cell r="O54">
            <v>28.886409</v>
          </cell>
          <cell r="V54">
            <v>11.574</v>
          </cell>
          <cell r="W54">
            <v>-13.854717450000001</v>
          </cell>
          <cell r="AA54">
            <v>143.67969178802392</v>
          </cell>
          <cell r="AC54">
            <v>3.5691788023903825E-2</v>
          </cell>
          <cell r="AK54">
            <v>9.2729999999999997</v>
          </cell>
          <cell r="AN54">
            <v>133.70400000000001</v>
          </cell>
          <cell r="AQ54">
            <v>0.66700000000000004</v>
          </cell>
          <cell r="AU54">
            <v>-34.254440338023926</v>
          </cell>
          <cell r="AV54"/>
          <cell r="AW54"/>
        </row>
        <row r="57">
          <cell r="H57">
            <v>151.19667800000002</v>
          </cell>
          <cell r="I57">
            <v>55.102678000000004</v>
          </cell>
          <cell r="J57">
            <v>12.167678</v>
          </cell>
          <cell r="K57">
            <v>42.935000000000002</v>
          </cell>
          <cell r="L57">
            <v>96.094000000000008</v>
          </cell>
          <cell r="M57"/>
          <cell r="N57">
            <v>42.712005000000005</v>
          </cell>
          <cell r="O57">
            <v>44.676005000000004</v>
          </cell>
          <cell r="V57">
            <v>11.289</v>
          </cell>
          <cell r="W57">
            <v>-13.253</v>
          </cell>
          <cell r="AA57">
            <v>146.07128241040019</v>
          </cell>
          <cell r="AC57">
            <v>2.5852824104002039</v>
          </cell>
          <cell r="AK57">
            <v>8.5709999999999997</v>
          </cell>
          <cell r="AN57">
            <v>137.506</v>
          </cell>
          <cell r="AQ57">
            <v>-2.5910000000000002</v>
          </cell>
          <cell r="AU57">
            <v>-37.586609410400172</v>
          </cell>
          <cell r="AV57"/>
          <cell r="AW57"/>
        </row>
        <row r="60">
          <cell r="H60">
            <v>134.17465900000002</v>
          </cell>
          <cell r="I60">
            <v>41.756658999999999</v>
          </cell>
          <cell r="J60">
            <v>11.497659000000001</v>
          </cell>
          <cell r="K60">
            <v>30.259</v>
          </cell>
          <cell r="L60">
            <v>92.418000000000006</v>
          </cell>
          <cell r="M60"/>
          <cell r="N60">
            <v>28.736509000000002</v>
          </cell>
          <cell r="O60">
            <v>36.937508999999999</v>
          </cell>
          <cell r="V60">
            <v>8.6150000000000002</v>
          </cell>
          <cell r="W60">
            <v>-16.815999999999999</v>
          </cell>
          <cell r="AA60">
            <v>137.9084637807166</v>
          </cell>
          <cell r="AC60">
            <v>-7.8135362192833924</v>
          </cell>
          <cell r="AK60">
            <v>13.115</v>
          </cell>
          <cell r="AN60">
            <v>134.821</v>
          </cell>
          <cell r="AQ60">
            <v>-2.214</v>
          </cell>
          <cell r="AU60">
            <v>-32.47031378071658</v>
          </cell>
          <cell r="AV60"/>
          <cell r="AW60"/>
        </row>
        <row r="63">
          <cell r="H63">
            <v>150.49400200000002</v>
          </cell>
          <cell r="I63">
            <v>51.629002</v>
          </cell>
          <cell r="J63">
            <v>12.879002</v>
          </cell>
          <cell r="K63">
            <v>38.75</v>
          </cell>
          <cell r="L63">
            <v>98.865000000000009</v>
          </cell>
          <cell r="M63"/>
          <cell r="N63">
            <v>31.306988000000004</v>
          </cell>
          <cell r="O63">
            <v>36.947988000000002</v>
          </cell>
          <cell r="V63">
            <v>12.225</v>
          </cell>
          <cell r="W63">
            <v>-17.866</v>
          </cell>
          <cell r="AA63">
            <v>151.33118014317338</v>
          </cell>
          <cell r="AC63">
            <v>1.6151801431733972</v>
          </cell>
          <cell r="AK63">
            <v>12.217000000000001</v>
          </cell>
          <cell r="AN63">
            <v>138.626</v>
          </cell>
          <cell r="AQ63">
            <v>-1.127</v>
          </cell>
          <cell r="AU63">
            <v>-32.144166143173365</v>
          </cell>
          <cell r="AV63"/>
          <cell r="AW63"/>
        </row>
        <row r="66">
          <cell r="H66">
            <v>154.24928</v>
          </cell>
          <cell r="I66">
            <v>52.934280000000001</v>
          </cell>
          <cell r="J66">
            <v>12.123280000000001</v>
          </cell>
          <cell r="K66">
            <v>40.811</v>
          </cell>
          <cell r="L66">
            <v>101.31500000000001</v>
          </cell>
          <cell r="M66"/>
          <cell r="N66">
            <v>31.587184000000004</v>
          </cell>
          <cell r="O66">
            <v>36.695184000000005</v>
          </cell>
          <cell r="V66">
            <v>14.351000000000001</v>
          </cell>
          <cell r="W66">
            <v>-19.459</v>
          </cell>
          <cell r="AA66">
            <v>157.5539385935912</v>
          </cell>
          <cell r="AC66">
            <v>2.2889385935911974</v>
          </cell>
          <cell r="AK66">
            <v>11.757999999999999</v>
          </cell>
          <cell r="AN66">
            <v>145.41300000000001</v>
          </cell>
          <cell r="AQ66">
            <v>-1.9059999999999999</v>
          </cell>
          <cell r="AU66">
            <v>-34.891842593591207</v>
          </cell>
          <cell r="AV66"/>
          <cell r="AW66"/>
        </row>
        <row r="69">
          <cell r="H69">
            <v>172.89686900000001</v>
          </cell>
          <cell r="I69">
            <v>62.085869000000002</v>
          </cell>
          <cell r="J69">
            <v>14.321869000000001</v>
          </cell>
          <cell r="K69">
            <v>47.764000000000003</v>
          </cell>
          <cell r="L69">
            <v>110.81100000000001</v>
          </cell>
          <cell r="M69"/>
          <cell r="N69">
            <v>58.33182734076204</v>
          </cell>
          <cell r="O69">
            <v>56.722980999999997</v>
          </cell>
          <cell r="V69">
            <v>23.602</v>
          </cell>
          <cell r="W69">
            <v>-21.993153659237954</v>
          </cell>
          <cell r="AA69">
            <v>151.01353610347201</v>
          </cell>
          <cell r="AC69">
            <v>-14.333463896528009</v>
          </cell>
          <cell r="AK69">
            <v>12.071</v>
          </cell>
          <cell r="AN69">
            <v>154.15100000000001</v>
          </cell>
          <cell r="AQ69">
            <v>-0.875</v>
          </cell>
          <cell r="AU69">
            <v>-36.448494444234029</v>
          </cell>
          <cell r="AV69"/>
          <cell r="AW69"/>
        </row>
        <row r="72">
          <cell r="H72">
            <v>166.24489399999999</v>
          </cell>
          <cell r="I72">
            <v>52.077894000000001</v>
          </cell>
          <cell r="J72">
            <v>11.312894</v>
          </cell>
          <cell r="K72">
            <v>40.765000000000001</v>
          </cell>
          <cell r="L72">
            <v>114.167</v>
          </cell>
          <cell r="M72"/>
          <cell r="N72">
            <v>51.425418999999991</v>
          </cell>
          <cell r="O72">
            <v>56.321218999999992</v>
          </cell>
          <cell r="V72">
            <v>17.443999999999999</v>
          </cell>
          <cell r="W72">
            <v>-22.3398</v>
          </cell>
          <cell r="AA72">
            <v>153.18680730143382</v>
          </cell>
          <cell r="AC72">
            <v>-11.893192698566203</v>
          </cell>
          <cell r="AK72">
            <v>11.606</v>
          </cell>
          <cell r="AN72">
            <v>154.83500000000001</v>
          </cell>
          <cell r="AQ72">
            <v>-1.361</v>
          </cell>
          <cell r="AU72">
            <v>-38.367332301433819</v>
          </cell>
          <cell r="AV72"/>
          <cell r="AW72"/>
        </row>
        <row r="75">
          <cell r="H75">
            <v>178.477903</v>
          </cell>
          <cell r="I75">
            <v>65.822902999999997</v>
          </cell>
          <cell r="J75">
            <v>15.198903</v>
          </cell>
          <cell r="K75">
            <v>50.624000000000002</v>
          </cell>
          <cell r="L75">
            <v>112.655</v>
          </cell>
          <cell r="M75"/>
          <cell r="N75">
            <v>85.550751679334056</v>
          </cell>
          <cell r="O75">
            <v>89.730029999999999</v>
          </cell>
          <cell r="V75">
            <v>19.581799999999998</v>
          </cell>
          <cell r="W75">
            <v>-23.761078320665941</v>
          </cell>
          <cell r="AA75">
            <v>131.82614260856599</v>
          </cell>
          <cell r="AC75">
            <v>-10.731857391433998</v>
          </cell>
          <cell r="AK75">
            <v>11.077999999999999</v>
          </cell>
          <cell r="AN75">
            <v>133.357</v>
          </cell>
          <cell r="AQ75">
            <v>-1.877</v>
          </cell>
          <cell r="AU75">
            <v>-38.898991287900046</v>
          </cell>
          <cell r="AV75"/>
          <cell r="AW75"/>
        </row>
        <row r="78">
          <cell r="H78">
            <v>181.38953899999998</v>
          </cell>
          <cell r="I78">
            <v>63.853439000000002</v>
          </cell>
          <cell r="J78">
            <v>12.603439</v>
          </cell>
          <cell r="K78">
            <v>51.25</v>
          </cell>
          <cell r="L78">
            <v>117.53609999999999</v>
          </cell>
          <cell r="M78"/>
          <cell r="N78">
            <v>86.03576046790964</v>
          </cell>
          <cell r="O78">
            <v>78.976505000000003</v>
          </cell>
          <cell r="V78">
            <v>14.9635</v>
          </cell>
          <cell r="W78">
            <v>-7.9042445320903552</v>
          </cell>
          <cell r="AA78">
            <v>132.02133698838441</v>
          </cell>
          <cell r="AC78">
            <v>-5.9552630116156031</v>
          </cell>
          <cell r="AK78">
            <v>8.8219999999999992</v>
          </cell>
          <cell r="AN78">
            <v>132.745</v>
          </cell>
          <cell r="AQ78">
            <v>-3.5904000000000003</v>
          </cell>
          <cell r="AU78">
            <v>-36.66755845629406</v>
          </cell>
          <cell r="AV78"/>
          <cell r="AW78"/>
        </row>
        <row r="81">
          <cell r="H81">
            <v>195.71254299999998</v>
          </cell>
          <cell r="I81">
            <v>71.845543000000006</v>
          </cell>
          <cell r="J81">
            <v>17.291543000000001</v>
          </cell>
          <cell r="K81">
            <v>54.554000000000002</v>
          </cell>
          <cell r="L81">
            <v>123.86699999999999</v>
          </cell>
          <cell r="M81"/>
          <cell r="N81">
            <v>93.698876999999996</v>
          </cell>
          <cell r="O81">
            <v>93.356876999999997</v>
          </cell>
          <cell r="V81">
            <v>12.266999999999999</v>
          </cell>
          <cell r="W81">
            <v>-11.924999999999999</v>
          </cell>
          <cell r="AA81">
            <v>139.97551763657657</v>
          </cell>
          <cell r="AC81">
            <v>-20.633482363423397</v>
          </cell>
          <cell r="AK81">
            <v>6.899</v>
          </cell>
          <cell r="AN81">
            <v>154.90199999999999</v>
          </cell>
          <cell r="AQ81">
            <v>-1.1919999999999999</v>
          </cell>
          <cell r="AU81">
            <v>-37.961851636576583</v>
          </cell>
          <cell r="AV81"/>
          <cell r="AW81"/>
        </row>
        <row r="84">
          <cell r="H84">
            <v>189.80494399999998</v>
          </cell>
          <cell r="I84">
            <v>68.290943999999996</v>
          </cell>
          <cell r="J84">
            <v>14.695943999999999</v>
          </cell>
          <cell r="K84">
            <v>53.594999999999999</v>
          </cell>
          <cell r="L84">
            <v>121.514</v>
          </cell>
          <cell r="M84"/>
          <cell r="N84">
            <v>80.481311182997118</v>
          </cell>
          <cell r="O84">
            <v>80.927344000000005</v>
          </cell>
          <cell r="V84">
            <v>14.925000000000001</v>
          </cell>
          <cell r="W84">
            <v>-15.371032817002881</v>
          </cell>
          <cell r="AA84">
            <v>144.63704614265001</v>
          </cell>
          <cell r="AC84">
            <v>-26.375953857349998</v>
          </cell>
          <cell r="AK84">
            <v>6.5720000000000001</v>
          </cell>
          <cell r="AN84">
            <v>171.51599999999999</v>
          </cell>
          <cell r="AQ84">
            <v>-7.0750000000000002</v>
          </cell>
          <cell r="AU84">
            <v>-35.313413325647147</v>
          </cell>
          <cell r="AV84"/>
          <cell r="AW84"/>
        </row>
        <row r="87">
          <cell r="H87">
            <v>200.089204</v>
          </cell>
          <cell r="I87">
            <v>68.729203999999996</v>
          </cell>
          <cell r="J87">
            <v>14.894204</v>
          </cell>
          <cell r="K87">
            <v>53.835000000000001</v>
          </cell>
          <cell r="L87">
            <v>131.36000000000001</v>
          </cell>
          <cell r="M87"/>
          <cell r="N87">
            <v>77.172061999999997</v>
          </cell>
          <cell r="O87">
            <v>82.121737999999993</v>
          </cell>
          <cell r="V87">
            <v>9.6537780000000009</v>
          </cell>
          <cell r="W87">
            <v>-14.603454000000001</v>
          </cell>
          <cell r="AA87">
            <v>165.51327600000002</v>
          </cell>
          <cell r="AC87">
            <v>-26.311723999999995</v>
          </cell>
          <cell r="AK87">
            <v>6.4290000000000003</v>
          </cell>
          <cell r="AN87">
            <v>189.85900000000001</v>
          </cell>
          <cell r="AQ87">
            <v>-4.4630000000000001</v>
          </cell>
          <cell r="AU87">
            <v>-42.596134000000021</v>
          </cell>
          <cell r="AV87"/>
          <cell r="AW87"/>
        </row>
        <row r="90">
          <cell r="H90">
            <v>217.27125000000001</v>
          </cell>
          <cell r="I90">
            <v>61.192250000000001</v>
          </cell>
          <cell r="J90">
            <v>14.85425</v>
          </cell>
          <cell r="K90">
            <v>46.338000000000001</v>
          </cell>
          <cell r="L90">
            <v>156.07900000000001</v>
          </cell>
          <cell r="M90"/>
          <cell r="N90">
            <v>82.142194000000003</v>
          </cell>
          <cell r="O90">
            <v>82.819618000000006</v>
          </cell>
          <cell r="V90">
            <v>14.047000000000001</v>
          </cell>
          <cell r="W90">
            <v>-14.724423999999999</v>
          </cell>
          <cell r="AA90">
            <v>183.249686</v>
          </cell>
          <cell r="AC90">
            <v>-26.777313999999997</v>
          </cell>
          <cell r="AK90">
            <v>6.1219999999999999</v>
          </cell>
          <cell r="AN90">
            <v>206.96600000000001</v>
          </cell>
          <cell r="AQ90">
            <v>-3.0609999999999999</v>
          </cell>
          <cell r="AU90">
            <v>-48.120630000000006</v>
          </cell>
          <cell r="AV90"/>
          <cell r="AW90"/>
        </row>
        <row r="93">
          <cell r="H93">
            <v>238.96438000000001</v>
          </cell>
          <cell r="I93">
            <v>73.639380000000003</v>
          </cell>
          <cell r="J93">
            <v>20.606380000000001</v>
          </cell>
          <cell r="K93">
            <v>53.033000000000001</v>
          </cell>
          <cell r="L93">
            <v>165.32499999999999</v>
          </cell>
          <cell r="M93"/>
          <cell r="N93">
            <v>78.301640999999989</v>
          </cell>
          <cell r="O93">
            <v>85.665368000000001</v>
          </cell>
          <cell r="V93">
            <v>10.862</v>
          </cell>
          <cell r="W93">
            <v>-18.225726999999999</v>
          </cell>
          <cell r="AA93">
            <v>210.94910400000001</v>
          </cell>
          <cell r="AC93">
            <v>-22.005896</v>
          </cell>
          <cell r="AK93">
            <v>6.0549999999999997</v>
          </cell>
          <cell r="AN93">
            <v>228.15700000000001</v>
          </cell>
          <cell r="AQ93">
            <v>-1.2569999999999999</v>
          </cell>
          <cell r="AU93">
            <v>-50.286364999999989</v>
          </cell>
          <cell r="AV93"/>
          <cell r="AW93"/>
        </row>
        <row r="96">
          <cell r="H96">
            <v>216.978171</v>
          </cell>
          <cell r="I96">
            <v>58.240171000000004</v>
          </cell>
          <cell r="J96">
            <v>15.829171000000001</v>
          </cell>
          <cell r="K96">
            <v>42.411000000000001</v>
          </cell>
          <cell r="L96">
            <v>158.738</v>
          </cell>
          <cell r="M96"/>
          <cell r="N96">
            <v>68.782665000000009</v>
          </cell>
          <cell r="O96">
            <v>77.353125000000006</v>
          </cell>
          <cell r="V96">
            <v>8.7200000000000006</v>
          </cell>
          <cell r="W96">
            <v>-17.290459999999999</v>
          </cell>
          <cell r="AA96">
            <v>197.77773000000002</v>
          </cell>
          <cell r="AC96">
            <v>-37.215269999999997</v>
          </cell>
          <cell r="AK96">
            <v>5.5869999999999997</v>
          </cell>
          <cell r="AN96">
            <v>231.501</v>
          </cell>
          <cell r="AQ96">
            <v>-2.0950000000000002</v>
          </cell>
          <cell r="AU96">
            <v>-49.582224000000025</v>
          </cell>
          <cell r="AV96"/>
          <cell r="AW96"/>
        </row>
        <row r="99">
          <cell r="H99">
            <v>228.897165</v>
          </cell>
          <cell r="I99">
            <v>55.702165000000001</v>
          </cell>
          <cell r="J99">
            <v>17.123165</v>
          </cell>
          <cell r="K99">
            <v>38.579000000000001</v>
          </cell>
          <cell r="L99">
            <v>173.19499999999999</v>
          </cell>
          <cell r="M99"/>
          <cell r="N99">
            <v>72.551353999999989</v>
          </cell>
          <cell r="O99">
            <v>83.227268999999993</v>
          </cell>
          <cell r="V99">
            <v>11.782999999999999</v>
          </cell>
          <cell r="W99">
            <v>-22.458915000000001</v>
          </cell>
          <cell r="AA99">
            <v>213.46575999999999</v>
          </cell>
          <cell r="AC99">
            <v>-19.075239999999997</v>
          </cell>
          <cell r="AK99">
            <v>3.94</v>
          </cell>
          <cell r="AN99">
            <v>233.84200000000001</v>
          </cell>
          <cell r="AQ99">
            <v>-5.2409999999999997</v>
          </cell>
          <cell r="AU99">
            <v>-57.119948999999963</v>
          </cell>
          <cell r="AV99"/>
          <cell r="AW99"/>
        </row>
        <row r="102">
          <cell r="H102">
            <v>248.13276099999999</v>
          </cell>
          <cell r="I102">
            <v>64.587761</v>
          </cell>
          <cell r="J102">
            <v>20.058760999999997</v>
          </cell>
          <cell r="K102">
            <v>44.529000000000003</v>
          </cell>
          <cell r="L102">
            <v>183.54499999999999</v>
          </cell>
          <cell r="M102"/>
          <cell r="N102">
            <v>77.329502000000005</v>
          </cell>
          <cell r="O102">
            <v>85.255639000000002</v>
          </cell>
          <cell r="V102">
            <v>11.686</v>
          </cell>
          <cell r="W102">
            <v>-19.612137000000001</v>
          </cell>
          <cell r="AA102">
            <v>231.82347400000003</v>
          </cell>
          <cell r="AC102">
            <v>-4.8565259999999952</v>
          </cell>
          <cell r="AK102">
            <v>3.5680000000000001</v>
          </cell>
          <cell r="AN102">
            <v>238.00200000000001</v>
          </cell>
          <cell r="AQ102">
            <v>-4.8899999999999997</v>
          </cell>
          <cell r="AU102">
            <v>-61.020215000000064</v>
          </cell>
          <cell r="AV102"/>
          <cell r="AW102"/>
        </row>
        <row r="105">
          <cell r="H105">
            <v>250.64321000000001</v>
          </cell>
          <cell r="I105">
            <v>70.078209999999999</v>
          </cell>
          <cell r="J105">
            <v>21.720209999999998</v>
          </cell>
          <cell r="K105">
            <v>48.357999999999997</v>
          </cell>
          <cell r="L105">
            <v>180.565</v>
          </cell>
          <cell r="M105"/>
          <cell r="N105">
            <v>76.218907000000002</v>
          </cell>
          <cell r="O105">
            <v>84.182455000000004</v>
          </cell>
          <cell r="V105">
            <v>11.757999999999999</v>
          </cell>
          <cell r="W105">
            <v>-19.721547999999999</v>
          </cell>
          <cell r="AA105">
            <v>231.45005899999998</v>
          </cell>
          <cell r="AC105">
            <v>-7.7919410000000049</v>
          </cell>
          <cell r="AK105">
            <v>3.0579999999999998</v>
          </cell>
          <cell r="AN105">
            <v>240.506</v>
          </cell>
          <cell r="AQ105">
            <v>-4.3220000000000001</v>
          </cell>
          <cell r="AU105">
            <v>-57.025755999999973</v>
          </cell>
          <cell r="AV105"/>
          <cell r="AW105"/>
        </row>
        <row r="108">
          <cell r="H108">
            <v>244.93058200000002</v>
          </cell>
          <cell r="I108">
            <v>68.703581999999997</v>
          </cell>
          <cell r="J108">
            <v>16.449581999999999</v>
          </cell>
          <cell r="K108">
            <v>52.253999999999998</v>
          </cell>
          <cell r="L108">
            <v>176.22700000000003</v>
          </cell>
          <cell r="M108"/>
          <cell r="N108">
            <v>76.825699</v>
          </cell>
          <cell r="O108">
            <v>90.441229000000007</v>
          </cell>
          <cell r="V108">
            <v>9.3000000000000007</v>
          </cell>
          <cell r="W108">
            <v>-22.91553</v>
          </cell>
          <cell r="AA108">
            <v>227.838278</v>
          </cell>
          <cell r="AC108">
            <v>-17.578722000000003</v>
          </cell>
          <cell r="AK108">
            <v>2.6859999999999999</v>
          </cell>
          <cell r="AN108">
            <v>249.58799999999999</v>
          </cell>
          <cell r="AQ108">
            <v>-6.8570000000000002</v>
          </cell>
          <cell r="AU108">
            <v>-59.733394999999973</v>
          </cell>
          <cell r="AV108"/>
          <cell r="AW108"/>
        </row>
        <row r="111">
          <cell r="H111">
            <v>260.98849799999999</v>
          </cell>
          <cell r="I111">
            <v>73.759497999999994</v>
          </cell>
          <cell r="J111">
            <v>18.475497999999998</v>
          </cell>
          <cell r="K111">
            <v>55.283999999999999</v>
          </cell>
          <cell r="L111">
            <v>187.22900000000001</v>
          </cell>
          <cell r="M111"/>
          <cell r="N111">
            <v>81.717315000000013</v>
          </cell>
          <cell r="O111">
            <v>91.615887000000001</v>
          </cell>
          <cell r="V111">
            <v>12.028</v>
          </cell>
          <cell r="W111">
            <v>-21.926572</v>
          </cell>
          <cell r="AA111">
            <v>244.98438200000001</v>
          </cell>
          <cell r="AC111">
            <v>-11.656617999999998</v>
          </cell>
          <cell r="AK111">
            <v>2.468</v>
          </cell>
          <cell r="AN111">
            <v>260.48500000000001</v>
          </cell>
          <cell r="AQ111">
            <v>-6.3120000000000003</v>
          </cell>
          <cell r="AU111">
            <v>-65.713199000000031</v>
          </cell>
          <cell r="AV111"/>
          <cell r="AW111"/>
        </row>
        <row r="114">
          <cell r="H114">
            <v>272.34547799999996</v>
          </cell>
          <cell r="I114">
            <v>79.892477999999997</v>
          </cell>
          <cell r="J114">
            <v>19.259477999999998</v>
          </cell>
          <cell r="K114">
            <v>60.633000000000003</v>
          </cell>
          <cell r="L114">
            <v>192.45299999999997</v>
          </cell>
          <cell r="M114"/>
          <cell r="N114">
            <v>93.451661999999999</v>
          </cell>
          <cell r="O114">
            <v>104.817145</v>
          </cell>
          <cell r="V114">
            <v>9.0060000000000002</v>
          </cell>
          <cell r="W114">
            <v>-20.371482999999998</v>
          </cell>
          <cell r="AA114">
            <v>253.63340399999998</v>
          </cell>
          <cell r="AC114">
            <v>-10.415595999999997</v>
          </cell>
          <cell r="AK114">
            <v>2.3690000000000002</v>
          </cell>
          <cell r="AN114">
            <v>267.42700000000002</v>
          </cell>
          <cell r="AQ114">
            <v>-5.7469999999999999</v>
          </cell>
          <cell r="AU114">
            <v>-74.739588000000026</v>
          </cell>
          <cell r="AV114"/>
          <cell r="AW114"/>
        </row>
        <row r="117">
          <cell r="H117">
            <v>284.94787300000002</v>
          </cell>
          <cell r="I117">
            <v>87.904873000000009</v>
          </cell>
          <cell r="J117">
            <v>22.716873</v>
          </cell>
          <cell r="K117">
            <v>65.188000000000002</v>
          </cell>
          <cell r="L117">
            <v>197.04300000000001</v>
          </cell>
          <cell r="M117"/>
          <cell r="N117">
            <v>103.604597</v>
          </cell>
          <cell r="O117">
            <v>114.613793</v>
          </cell>
          <cell r="V117">
            <v>8.5269999999999992</v>
          </cell>
          <cell r="W117">
            <v>-19.536196</v>
          </cell>
          <cell r="AA117">
            <v>252.48380299999999</v>
          </cell>
          <cell r="AC117">
            <v>-24.759197000000004</v>
          </cell>
          <cell r="AK117">
            <v>3.7690000000000001</v>
          </cell>
          <cell r="AN117">
            <v>279.70100000000002</v>
          </cell>
          <cell r="AQ117">
            <v>-6.2270000000000003</v>
          </cell>
          <cell r="AU117">
            <v>-71.140526999999992</v>
          </cell>
          <cell r="AV117"/>
          <cell r="AW117"/>
        </row>
        <row r="120">
          <cell r="H120">
            <v>277.18315200000001</v>
          </cell>
          <cell r="I120">
            <v>72.608152000000004</v>
          </cell>
          <cell r="J120">
            <v>17.987151999999998</v>
          </cell>
          <cell r="K120">
            <v>54.621000000000002</v>
          </cell>
          <cell r="L120">
            <v>204.57499999999999</v>
          </cell>
          <cell r="M120"/>
          <cell r="N120">
            <v>84.070132999999998</v>
          </cell>
          <cell r="O120">
            <v>96.313348000000005</v>
          </cell>
          <cell r="V120">
            <v>9.1809999999999992</v>
          </cell>
          <cell r="W120">
            <v>-21.424215</v>
          </cell>
          <cell r="AA120">
            <v>259.64308600000004</v>
          </cell>
          <cell r="AC120">
            <v>-30.507914</v>
          </cell>
          <cell r="AK120">
            <v>3.8540000000000001</v>
          </cell>
          <cell r="AN120">
            <v>291.58300000000003</v>
          </cell>
          <cell r="AQ120">
            <v>-5.2859999999999996</v>
          </cell>
          <cell r="AU120">
            <v>-66.530067000000031</v>
          </cell>
          <cell r="AV120"/>
          <cell r="AW120"/>
        </row>
        <row r="123">
          <cell r="H123">
            <v>282.77857499999999</v>
          </cell>
          <cell r="I123">
            <v>72.559574999999995</v>
          </cell>
          <cell r="J123">
            <v>18.773575000000001</v>
          </cell>
          <cell r="K123">
            <v>53.786000000000001</v>
          </cell>
          <cell r="L123">
            <v>210.21899999999999</v>
          </cell>
          <cell r="M123"/>
          <cell r="N123">
            <v>79.862382999999994</v>
          </cell>
          <cell r="O123">
            <v>89.134807999999992</v>
          </cell>
          <cell r="V123">
            <v>10.763</v>
          </cell>
          <cell r="W123">
            <v>-20.035425</v>
          </cell>
          <cell r="AA123">
            <v>282.22499599999998</v>
          </cell>
          <cell r="AC123">
            <v>-29.069003999999996</v>
          </cell>
          <cell r="AK123">
            <v>3.7450000000000001</v>
          </cell>
          <cell r="AN123">
            <v>311.779</v>
          </cell>
          <cell r="AQ123">
            <v>-4.2300000000000004</v>
          </cell>
          <cell r="AU123">
            <v>-79.308803999999981</v>
          </cell>
          <cell r="AV123"/>
          <cell r="AW123"/>
        </row>
        <row r="126">
          <cell r="H126">
            <v>271.51755200000002</v>
          </cell>
          <cell r="I126">
            <v>66.347552000000007</v>
          </cell>
          <cell r="J126">
            <v>19.555551999999999</v>
          </cell>
          <cell r="K126">
            <v>46.792000000000002</v>
          </cell>
          <cell r="L126">
            <v>205.17000000000002</v>
          </cell>
          <cell r="M126"/>
          <cell r="N126">
            <v>116.79637100000002</v>
          </cell>
          <cell r="O126">
            <v>128.49981400000001</v>
          </cell>
          <cell r="V126">
            <v>15.198</v>
          </cell>
          <cell r="W126">
            <v>-26.901443</v>
          </cell>
          <cell r="AA126">
            <v>255.42878000000002</v>
          </cell>
          <cell r="AC126">
            <v>-45.212220000000009</v>
          </cell>
          <cell r="AK126">
            <v>3.702</v>
          </cell>
          <cell r="AN126">
            <v>305.27100000000002</v>
          </cell>
          <cell r="AQ126">
            <v>-8.3320000000000007</v>
          </cell>
          <cell r="AU126">
            <v>-100.70759900000002</v>
          </cell>
          <cell r="AV126"/>
          <cell r="AW126"/>
        </row>
        <row r="129">
          <cell r="H129">
            <v>287.38487399999997</v>
          </cell>
          <cell r="I129">
            <v>77.297874000000007</v>
          </cell>
          <cell r="J129">
            <v>24.788874</v>
          </cell>
          <cell r="K129">
            <v>52.509</v>
          </cell>
          <cell r="L129">
            <v>210.08699999999999</v>
          </cell>
          <cell r="M129"/>
          <cell r="N129">
            <v>119.55187099999999</v>
          </cell>
          <cell r="O129">
            <v>123.90982700000001</v>
          </cell>
          <cell r="V129">
            <v>24.95</v>
          </cell>
          <cell r="W129">
            <v>-29.307956000000001</v>
          </cell>
          <cell r="AA129">
            <v>265.58749899999998</v>
          </cell>
          <cell r="AC129">
            <v>-36.451500999999993</v>
          </cell>
          <cell r="AK129">
            <v>3.524</v>
          </cell>
          <cell r="AN129">
            <v>307.79599999999999</v>
          </cell>
          <cell r="AQ129">
            <v>-9.2810000000000006</v>
          </cell>
          <cell r="AU129">
            <v>-97.754496000000017</v>
          </cell>
          <cell r="AV129"/>
          <cell r="AW129"/>
        </row>
        <row r="132">
          <cell r="H132">
            <v>272.70150799999999</v>
          </cell>
          <cell r="I132">
            <v>79.746508000000006</v>
          </cell>
          <cell r="J132">
            <v>21.235508000000003</v>
          </cell>
          <cell r="K132">
            <v>58.511000000000003</v>
          </cell>
          <cell r="L132">
            <v>192.95500000000001</v>
          </cell>
          <cell r="M132"/>
          <cell r="N132">
            <v>112.32550600000002</v>
          </cell>
          <cell r="O132">
            <v>130.59350500000002</v>
          </cell>
          <cell r="V132">
            <v>19.262</v>
          </cell>
          <cell r="W132">
            <v>-37.529999000000004</v>
          </cell>
          <cell r="AA132">
            <v>255.44215899999998</v>
          </cell>
          <cell r="AC132">
            <v>-38.324840999999992</v>
          </cell>
          <cell r="AK132">
            <v>3.8340000000000001</v>
          </cell>
          <cell r="AN132">
            <v>306.72699999999998</v>
          </cell>
          <cell r="AQ132">
            <v>-16.794</v>
          </cell>
          <cell r="AU132">
            <v>-95.066157000000004</v>
          </cell>
          <cell r="AV132"/>
          <cell r="AW132"/>
        </row>
        <row r="135">
          <cell r="H135">
            <v>277.30039900000003</v>
          </cell>
          <cell r="I135">
            <v>77.908399000000003</v>
          </cell>
          <cell r="J135">
            <v>21.912399000000001</v>
          </cell>
          <cell r="K135">
            <v>55.996000000000002</v>
          </cell>
          <cell r="L135">
            <v>199.39200000000002</v>
          </cell>
          <cell r="M135"/>
          <cell r="N135">
            <v>121.27518099999998</v>
          </cell>
          <cell r="O135">
            <v>136.25232299999999</v>
          </cell>
          <cell r="V135">
            <v>17.753</v>
          </cell>
          <cell r="W135">
            <v>-32.730142000000001</v>
          </cell>
          <cell r="AA135">
            <v>262.17107700000003</v>
          </cell>
          <cell r="AC135">
            <v>-32.744923</v>
          </cell>
          <cell r="AK135">
            <v>3.855</v>
          </cell>
          <cell r="AN135">
            <v>302.77300000000002</v>
          </cell>
          <cell r="AQ135">
            <v>-11.712</v>
          </cell>
          <cell r="AU135">
            <v>-106.14585899999997</v>
          </cell>
          <cell r="AV135"/>
          <cell r="AW135"/>
        </row>
        <row r="138">
          <cell r="H138">
            <v>286.854873</v>
          </cell>
          <cell r="I138">
            <v>85.156873000000004</v>
          </cell>
          <cell r="J138">
            <v>23.837872999999998</v>
          </cell>
          <cell r="K138">
            <v>61.319000000000003</v>
          </cell>
          <cell r="L138">
            <v>201.69800000000001</v>
          </cell>
          <cell r="M138"/>
          <cell r="N138">
            <v>151.27759</v>
          </cell>
          <cell r="O138">
            <v>163.34755699999999</v>
          </cell>
          <cell r="V138">
            <v>13.863</v>
          </cell>
          <cell r="W138">
            <v>-25.932966999999998</v>
          </cell>
          <cell r="AA138">
            <v>241.97601399999999</v>
          </cell>
          <cell r="AC138">
            <v>-33.749986</v>
          </cell>
          <cell r="AK138">
            <v>3.645</v>
          </cell>
          <cell r="AN138">
            <v>283.27699999999999</v>
          </cell>
          <cell r="AQ138">
            <v>-11.196</v>
          </cell>
          <cell r="AU138">
            <v>-106.398731</v>
          </cell>
          <cell r="AV138"/>
          <cell r="AW138"/>
        </row>
        <row r="141">
          <cell r="H141">
            <v>287.67973799999999</v>
          </cell>
          <cell r="I141">
            <v>84.930738000000005</v>
          </cell>
          <cell r="J141">
            <v>25.726738000000001</v>
          </cell>
          <cell r="K141">
            <v>59.204000000000001</v>
          </cell>
          <cell r="L141">
            <v>202.749</v>
          </cell>
          <cell r="M141"/>
          <cell r="N141">
            <v>147.372322</v>
          </cell>
          <cell r="O141">
            <v>160.37982499999998</v>
          </cell>
          <cell r="V141">
            <v>11.803000000000001</v>
          </cell>
          <cell r="W141">
            <v>-24.810502999999997</v>
          </cell>
          <cell r="AA141">
            <v>247.93176800000003</v>
          </cell>
          <cell r="AC141">
            <v>-29.194232000000003</v>
          </cell>
          <cell r="AK141">
            <v>3.4510000000000001</v>
          </cell>
          <cell r="AN141">
            <v>281.851</v>
          </cell>
          <cell r="AQ141">
            <v>-8.1760000000000002</v>
          </cell>
          <cell r="AU141">
            <v>-107.62435200000004</v>
          </cell>
          <cell r="AV141"/>
          <cell r="AW141"/>
        </row>
        <row r="144">
          <cell r="H144">
            <v>284.67664000000002</v>
          </cell>
          <cell r="I144">
            <v>80.317639999999997</v>
          </cell>
          <cell r="J144">
            <v>22.766639999999999</v>
          </cell>
          <cell r="K144">
            <v>57.551000000000002</v>
          </cell>
          <cell r="L144">
            <v>204.35900000000001</v>
          </cell>
          <cell r="M144"/>
          <cell r="N144">
            <v>141.97899100000001</v>
          </cell>
          <cell r="O144">
            <v>155.49974799999998</v>
          </cell>
          <cell r="V144">
            <v>16.186</v>
          </cell>
          <cell r="W144">
            <v>-29.706756999999996</v>
          </cell>
          <cell r="AA144">
            <v>244.13399799999996</v>
          </cell>
          <cell r="AC144">
            <v>-25.272002000000001</v>
          </cell>
          <cell r="AK144">
            <v>8.8109999999999999</v>
          </cell>
          <cell r="AN144">
            <v>268.28199999999998</v>
          </cell>
          <cell r="AQ144">
            <v>-7.6870000000000003</v>
          </cell>
          <cell r="AU144">
            <v>-101.43634899999995</v>
          </cell>
          <cell r="AV144"/>
          <cell r="AW144"/>
        </row>
        <row r="147">
          <cell r="H147">
            <v>291.46330899999998</v>
          </cell>
          <cell r="I147">
            <v>90.090309000000005</v>
          </cell>
          <cell r="J147">
            <v>26.754309000000003</v>
          </cell>
          <cell r="K147">
            <v>63.335999999999999</v>
          </cell>
          <cell r="L147">
            <v>201.37299999999999</v>
          </cell>
          <cell r="M147"/>
          <cell r="N147">
            <v>164.781879</v>
          </cell>
          <cell r="O147">
            <v>170.47018400000002</v>
          </cell>
          <cell r="V147">
            <v>16.242999999999999</v>
          </cell>
          <cell r="W147">
            <v>-21.931305000000002</v>
          </cell>
          <cell r="AA147">
            <v>235.03836200000001</v>
          </cell>
          <cell r="AC147">
            <v>-29.108637999999999</v>
          </cell>
          <cell r="AK147">
            <v>19.597000000000001</v>
          </cell>
          <cell r="AN147">
            <v>252.601</v>
          </cell>
          <cell r="AQ147">
            <v>-8.0510000000000002</v>
          </cell>
          <cell r="AU147">
            <v>-108.35693200000003</v>
          </cell>
          <cell r="AV147"/>
          <cell r="AW147"/>
        </row>
        <row r="150">
          <cell r="H150">
            <v>286.78988399999997</v>
          </cell>
          <cell r="I150">
            <v>86.212884000000003</v>
          </cell>
          <cell r="J150">
            <v>24.658883999999997</v>
          </cell>
          <cell r="K150">
            <v>61.554000000000002</v>
          </cell>
          <cell r="L150">
            <v>200.57699999999997</v>
          </cell>
          <cell r="M150"/>
          <cell r="N150">
            <v>165.95665000000002</v>
          </cell>
          <cell r="O150">
            <v>172.71933100000001</v>
          </cell>
          <cell r="V150">
            <v>13.065</v>
          </cell>
          <cell r="W150">
            <v>-19.827680999999998</v>
          </cell>
          <cell r="AA150">
            <v>238.11929499999999</v>
          </cell>
          <cell r="AC150">
            <v>-22.937704999999998</v>
          </cell>
          <cell r="AK150">
            <v>18.344000000000001</v>
          </cell>
          <cell r="AN150">
            <v>249.39599999999999</v>
          </cell>
          <cell r="AQ150">
            <v>-6.6829999999999998</v>
          </cell>
          <cell r="AU150">
            <v>-117.28606100000005</v>
          </cell>
          <cell r="AV150"/>
          <cell r="AW150"/>
        </row>
        <row r="153">
          <cell r="H153">
            <v>305.47068200000001</v>
          </cell>
          <cell r="I153">
            <v>98.485681999999997</v>
          </cell>
          <cell r="J153">
            <v>28.515682000000002</v>
          </cell>
          <cell r="K153">
            <v>69.97</v>
          </cell>
          <cell r="L153">
            <v>206.98500000000001</v>
          </cell>
          <cell r="M153"/>
          <cell r="N153">
            <v>180.68016999999998</v>
          </cell>
          <cell r="O153">
            <v>177.48781999999997</v>
          </cell>
          <cell r="V153">
            <v>17.763000000000002</v>
          </cell>
          <cell r="W153">
            <v>-14.570650000000001</v>
          </cell>
          <cell r="AA153">
            <v>240.59948818999999</v>
          </cell>
          <cell r="AC153">
            <v>-15.244890000000002</v>
          </cell>
          <cell r="AK153">
            <v>15.006</v>
          </cell>
          <cell r="AN153">
            <v>247.62537818999999</v>
          </cell>
          <cell r="AQ153">
            <v>-6.7869999999999999</v>
          </cell>
          <cell r="AU153">
            <v>-115.80897618999995</v>
          </cell>
          <cell r="AV153"/>
          <cell r="AW153"/>
        </row>
        <row r="156">
          <cell r="H156">
            <v>285.108722</v>
          </cell>
          <cell r="I156">
            <v>78.993722000000005</v>
          </cell>
          <cell r="J156">
            <v>24.653722000000002</v>
          </cell>
          <cell r="K156">
            <v>54.34</v>
          </cell>
          <cell r="L156">
            <v>206.11499999999998</v>
          </cell>
          <cell r="N156">
            <v>164.10311100000001</v>
          </cell>
          <cell r="O156">
            <v>157.11032000000003</v>
          </cell>
          <cell r="V156">
            <v>14.254</v>
          </cell>
          <cell r="W156">
            <v>-7.2612089999999991</v>
          </cell>
          <cell r="AA156">
            <v>237.04968588</v>
          </cell>
          <cell r="AC156">
            <v>-12.171310000000002</v>
          </cell>
          <cell r="AK156">
            <v>14.145</v>
          </cell>
          <cell r="AN156">
            <v>243.04599587999999</v>
          </cell>
          <cell r="AQ156">
            <v>-7.97</v>
          </cell>
          <cell r="AU156">
            <v>-116.04407488000001</v>
          </cell>
          <cell r="AV156"/>
        </row>
        <row r="159">
          <cell r="H159">
            <v>299.23148900000001</v>
          </cell>
          <cell r="I159">
            <v>96.931488999999999</v>
          </cell>
          <cell r="J159">
            <v>27.267489000000001</v>
          </cell>
          <cell r="K159">
            <v>69.664000000000001</v>
          </cell>
          <cell r="L159">
            <v>202.29999999999998</v>
          </cell>
          <cell r="N159">
            <v>215.15198100000001</v>
          </cell>
          <cell r="O159">
            <v>203.758714</v>
          </cell>
          <cell r="V159">
            <v>17.853000000000002</v>
          </cell>
          <cell r="W159">
            <v>-6.4597329999999999</v>
          </cell>
          <cell r="AA159">
            <v>197.49067488999998</v>
          </cell>
          <cell r="AC159">
            <v>-32.459682000000001</v>
          </cell>
          <cell r="AK159">
            <v>13.173999999999999</v>
          </cell>
          <cell r="AN159">
            <v>227.70435688999999</v>
          </cell>
          <cell r="AQ159">
            <v>-10.928000000000001</v>
          </cell>
          <cell r="AU159">
            <v>-113.41116688999998</v>
          </cell>
          <cell r="AV159"/>
          <cell r="AW159"/>
        </row>
        <row r="162">
          <cell r="H162">
            <v>289.58604100000002</v>
          </cell>
          <cell r="I162">
            <v>99.887040999999996</v>
          </cell>
          <cell r="J162">
            <v>25.747040999999999</v>
          </cell>
          <cell r="K162">
            <v>74.14</v>
          </cell>
          <cell r="L162">
            <v>189.69900000000001</v>
          </cell>
          <cell r="N162">
            <v>212.31171000000001</v>
          </cell>
          <cell r="O162">
            <v>208.05729399999998</v>
          </cell>
          <cell r="V162">
            <v>11.89</v>
          </cell>
          <cell r="W162">
            <v>-7.6355839999999997</v>
          </cell>
          <cell r="AA162">
            <v>186.977149</v>
          </cell>
          <cell r="AC162">
            <v>-39.064851000000004</v>
          </cell>
          <cell r="AK162">
            <v>12.186</v>
          </cell>
          <cell r="AN162">
            <v>223.857</v>
          </cell>
          <cell r="AQ162">
            <v>-10.000999999999999</v>
          </cell>
          <cell r="AU162">
            <v>-109.70281799999998</v>
          </cell>
          <cell r="AV162"/>
          <cell r="AW162"/>
        </row>
        <row r="165">
          <cell r="H165"/>
          <cell r="I165"/>
          <cell r="J165">
            <v>30.203451000000001</v>
          </cell>
          <cell r="K165"/>
          <cell r="L165"/>
          <cell r="N165"/>
          <cell r="O165"/>
          <cell r="V165">
            <v>16.178000000000001</v>
          </cell>
          <cell r="W165"/>
          <cell r="AA165"/>
          <cell r="AC165"/>
          <cell r="AK165"/>
          <cell r="AN165"/>
          <cell r="AQ165"/>
          <cell r="AU165"/>
          <cell r="AV165"/>
          <cell r="AW165"/>
        </row>
        <row r="168">
          <cell r="H168">
            <v>312.97563278000001</v>
          </cell>
          <cell r="I168">
            <v>116.38163278</v>
          </cell>
          <cell r="J168">
            <v>26.844632780000001</v>
          </cell>
          <cell r="K168">
            <v>89.537000000000006</v>
          </cell>
          <cell r="L168">
            <v>196.44200000000001</v>
          </cell>
          <cell r="M168">
            <v>0.152</v>
          </cell>
          <cell r="N168">
            <v>226.26283892000004</v>
          </cell>
          <cell r="O168">
            <v>241.73268358000001</v>
          </cell>
          <cell r="V168">
            <v>14.521417619999999</v>
          </cell>
          <cell r="W168">
            <v>-29.991262279999994</v>
          </cell>
          <cell r="AA168">
            <v>199.81731072749994</v>
          </cell>
          <cell r="AC168">
            <v>-68.899033087500058</v>
          </cell>
          <cell r="AK168">
            <v>13.627000000000001</v>
          </cell>
          <cell r="AN168">
            <v>248.825343815</v>
          </cell>
          <cell r="AQ168">
            <v>6.2640000000000002</v>
          </cell>
          <cell r="AU168">
            <v>-111.77237133</v>
          </cell>
          <cell r="AV168">
            <v>-1.0379914625002384</v>
          </cell>
          <cell r="AW168">
            <v>0.29415407500000357</v>
          </cell>
        </row>
        <row r="171">
          <cell r="H171">
            <v>327.02711987999999</v>
          </cell>
          <cell r="I171">
            <v>129.04211988</v>
          </cell>
          <cell r="J171">
            <v>32.476119879999999</v>
          </cell>
          <cell r="K171">
            <v>96.566000000000003</v>
          </cell>
          <cell r="L171">
            <v>197.833</v>
          </cell>
          <cell r="M171">
            <v>0.152</v>
          </cell>
          <cell r="N171">
            <v>240.23955927</v>
          </cell>
          <cell r="O171">
            <v>253.4067636</v>
          </cell>
          <cell r="V171">
            <v>13.895143710000001</v>
          </cell>
          <cell r="W171">
            <v>-27.062348039999996</v>
          </cell>
          <cell r="AA171">
            <v>209.09680775249998</v>
          </cell>
          <cell r="AC171">
            <v>-58.898642422500025</v>
          </cell>
          <cell r="AK171">
            <v>13.728</v>
          </cell>
          <cell r="AN171">
            <v>247.93745017500001</v>
          </cell>
          <cell r="AQ171">
            <v>6.33</v>
          </cell>
          <cell r="AU171">
            <v>-116.45480825999999</v>
          </cell>
          <cell r="AV171">
            <v>-5.609729572500135</v>
          </cell>
          <cell r="AW171">
            <v>0.24470931000000273</v>
          </cell>
        </row>
        <row r="174">
          <cell r="H174">
            <v>334.29415564999999</v>
          </cell>
          <cell r="I174">
            <v>134.53715565000002</v>
          </cell>
          <cell r="J174">
            <v>31.251155650000008</v>
          </cell>
          <cell r="K174">
            <v>103.286</v>
          </cell>
          <cell r="L174">
            <v>199.61199999999999</v>
          </cell>
          <cell r="M174">
            <v>0.14499999999999999</v>
          </cell>
          <cell r="N174">
            <v>242.11020485</v>
          </cell>
          <cell r="O174">
            <v>250.48871660999998</v>
          </cell>
          <cell r="V174">
            <v>14.668779039999999</v>
          </cell>
          <cell r="W174">
            <v>-23.047290799999992</v>
          </cell>
          <cell r="AA174">
            <v>215.45095697499994</v>
          </cell>
          <cell r="AC174">
            <v>-48.768728105000029</v>
          </cell>
          <cell r="AK174">
            <v>13.689</v>
          </cell>
          <cell r="AN174">
            <v>244.47768507999999</v>
          </cell>
          <cell r="AQ174">
            <v>6.0529999999999999</v>
          </cell>
          <cell r="AU174">
            <v>-118.06227283</v>
          </cell>
          <cell r="AV174">
            <v>-4.9152936750002514</v>
          </cell>
          <cell r="AW174">
            <v>0.28943967000000281</v>
          </cell>
        </row>
        <row r="177">
          <cell r="H177">
            <v>345.03208131999997</v>
          </cell>
          <cell r="I177">
            <v>146.01708131999999</v>
          </cell>
          <cell r="J177">
            <v>33.166081320000004</v>
          </cell>
          <cell r="K177">
            <v>112.851</v>
          </cell>
          <cell r="L177">
            <v>198.91</v>
          </cell>
          <cell r="M177">
            <v>0.105</v>
          </cell>
          <cell r="N177">
            <v>254.69800087000002</v>
          </cell>
          <cell r="O177">
            <v>261.12631582</v>
          </cell>
          <cell r="V177">
            <v>15.395648600000001</v>
          </cell>
          <cell r="W177">
            <v>-21.823963549999995</v>
          </cell>
          <cell r="AA177">
            <v>212.33009208499996</v>
          </cell>
          <cell r="AC177">
            <v>-47.021115495000032</v>
          </cell>
          <cell r="AK177">
            <v>14.641999999999999</v>
          </cell>
          <cell r="AN177">
            <v>238.36420758</v>
          </cell>
          <cell r="AQ177">
            <v>6.3449999999999998</v>
          </cell>
          <cell r="AU177">
            <v>-122.30087365999999</v>
          </cell>
          <cell r="AV177">
            <v>0.50901464999964807</v>
          </cell>
          <cell r="AW177">
            <v>0.20415262500000275</v>
          </cell>
        </row>
        <row r="180">
          <cell r="H180">
            <v>334.83896240000001</v>
          </cell>
          <cell r="I180">
            <v>138.96096240000003</v>
          </cell>
          <cell r="J180">
            <v>28.537962400000012</v>
          </cell>
          <cell r="K180">
            <v>110.423</v>
          </cell>
          <cell r="L180">
            <v>195.774</v>
          </cell>
          <cell r="M180">
            <v>0.104</v>
          </cell>
          <cell r="N180">
            <v>242.93893159000004</v>
          </cell>
          <cell r="O180">
            <v>249.23690727000005</v>
          </cell>
          <cell r="V180">
            <v>16.247648129999998</v>
          </cell>
          <cell r="W180">
            <v>-22.545623809999988</v>
          </cell>
          <cell r="AA180">
            <v>216.75070899999992</v>
          </cell>
          <cell r="AC180">
            <v>-41.587237480000049</v>
          </cell>
          <cell r="AK180">
            <v>15.333</v>
          </cell>
          <cell r="AN180">
            <v>235.72194647999999</v>
          </cell>
          <cell r="AQ180">
            <v>7.2830000000000004</v>
          </cell>
          <cell r="AU180">
            <v>-123.99918509</v>
          </cell>
          <cell r="AV180">
            <v>-0.54777399500039614</v>
          </cell>
          <cell r="AW180">
            <v>0.30371910500000282</v>
          </cell>
        </row>
        <row r="183">
          <cell r="H183">
            <v>343.88076894999995</v>
          </cell>
          <cell r="I183">
            <v>155.54476894999999</v>
          </cell>
          <cell r="J183">
            <v>32.061768950000001</v>
          </cell>
          <cell r="K183">
            <v>123.483</v>
          </cell>
          <cell r="L183">
            <v>188.23400000000001</v>
          </cell>
          <cell r="M183">
            <v>0.10199999999999999</v>
          </cell>
          <cell r="N183">
            <v>252.56828319000016</v>
          </cell>
          <cell r="O183">
            <v>268.49202957000011</v>
          </cell>
          <cell r="V183">
            <v>9.1567721899999999</v>
          </cell>
          <cell r="W183">
            <v>-25.080518569999992</v>
          </cell>
          <cell r="AA183">
            <v>214.31442345249994</v>
          </cell>
          <cell r="AC183">
            <v>-44.368438792500044</v>
          </cell>
          <cell r="AK183">
            <v>16.774999999999999</v>
          </cell>
          <cell r="AN183">
            <v>229.31886224499999</v>
          </cell>
          <cell r="AQ183">
            <v>12.589</v>
          </cell>
          <cell r="AU183">
            <v>-126.08081173999999</v>
          </cell>
          <cell r="AV183">
            <v>4.0291666374996131</v>
          </cell>
          <cell r="AW183">
            <v>0.9502925900000031</v>
          </cell>
        </row>
        <row r="186">
          <cell r="H186">
            <v>345.80809873999999</v>
          </cell>
          <cell r="I186">
            <v>161.33309874</v>
          </cell>
          <cell r="J186">
            <v>31.357098740000001</v>
          </cell>
          <cell r="K186">
            <v>129.976</v>
          </cell>
          <cell r="L186">
            <v>184.37299999999999</v>
          </cell>
          <cell r="M186">
            <v>0.10199999999999999</v>
          </cell>
          <cell r="N186">
            <v>253.27254660000006</v>
          </cell>
          <cell r="O186">
            <v>259.83875334000004</v>
          </cell>
          <cell r="V186">
            <v>18.49446988</v>
          </cell>
          <cell r="W186">
            <v>-25.060676619999995</v>
          </cell>
          <cell r="AA186">
            <v>221.49315685499994</v>
          </cell>
          <cell r="AC186">
            <v>-38.786493415000045</v>
          </cell>
          <cell r="AK186">
            <v>18.670999999999999</v>
          </cell>
          <cell r="AN186">
            <v>229.01965027</v>
          </cell>
          <cell r="AQ186">
            <v>12.589</v>
          </cell>
          <cell r="AU186">
            <v>-132.99880166999998</v>
          </cell>
          <cell r="AV186">
            <v>4.3896261499994544</v>
          </cell>
          <cell r="AW186">
            <v>0.34842919500000236</v>
          </cell>
        </row>
        <row r="189">
          <cell r="H189">
            <v>355.83057172000002</v>
          </cell>
          <cell r="I189">
            <v>171.66357171999999</v>
          </cell>
          <cell r="J189">
            <v>37.03557172</v>
          </cell>
          <cell r="K189">
            <v>134.62799999999999</v>
          </cell>
          <cell r="L189">
            <v>184.06700000000001</v>
          </cell>
          <cell r="M189">
            <v>0.1</v>
          </cell>
          <cell r="N189">
            <v>261.74014177000009</v>
          </cell>
          <cell r="O189">
            <v>278.4145592000001</v>
          </cell>
          <cell r="V189">
            <v>14.66079592</v>
          </cell>
          <cell r="W189">
            <v>-31.335213349999989</v>
          </cell>
          <cell r="AA189">
            <v>219.23258969749998</v>
          </cell>
          <cell r="AC189">
            <v>-56.580976627500036</v>
          </cell>
          <cell r="AK189">
            <v>35.506999999999998</v>
          </cell>
          <cell r="AN189">
            <v>227.85756632499999</v>
          </cell>
          <cell r="AQ189">
            <v>12.449</v>
          </cell>
          <cell r="AU189">
            <v>-134.48776061000001</v>
          </cell>
          <cell r="AV189">
            <v>9.536226797499582</v>
          </cell>
          <cell r="AW189">
            <v>0.19062593500000247</v>
          </cell>
        </row>
        <row r="192">
          <cell r="H192">
            <v>354.47759518000004</v>
          </cell>
          <cell r="I192">
            <v>168.43059518000001</v>
          </cell>
          <cell r="J192">
            <v>34.317595180000005</v>
          </cell>
          <cell r="K192">
            <v>134.113</v>
          </cell>
          <cell r="L192">
            <v>186.036</v>
          </cell>
          <cell r="M192">
            <v>1.0999999999999999E-2</v>
          </cell>
          <cell r="N192">
            <v>264.96271767000007</v>
          </cell>
          <cell r="O192">
            <v>282.99212368000002</v>
          </cell>
          <cell r="V192">
            <v>12.375343900000001</v>
          </cell>
          <cell r="W192">
            <v>-30.404749909999992</v>
          </cell>
          <cell r="AA192">
            <v>224.62107740999994</v>
          </cell>
          <cell r="AC192">
            <v>-57.35267996000006</v>
          </cell>
          <cell r="AK192">
            <v>40.57</v>
          </cell>
          <cell r="AN192">
            <v>228.82175737</v>
          </cell>
          <cell r="AQ192">
            <v>12.582000000000001</v>
          </cell>
          <cell r="AU192">
            <v>-140.23109026999998</v>
          </cell>
          <cell r="AV192">
            <v>5.3274379599996244</v>
          </cell>
          <cell r="AW192">
            <v>0.20254759000000261</v>
          </cell>
        </row>
        <row r="195">
          <cell r="H195">
            <v>368.86485676000001</v>
          </cell>
          <cell r="I195">
            <v>176.00485676</v>
          </cell>
          <cell r="J195">
            <v>38.916856760000002</v>
          </cell>
          <cell r="K195">
            <v>137.08799999999999</v>
          </cell>
          <cell r="L195">
            <v>192.84899999999999</v>
          </cell>
          <cell r="M195">
            <v>1.0999999999999999E-2</v>
          </cell>
          <cell r="N195">
            <v>268.50782915999997</v>
          </cell>
          <cell r="O195">
            <v>283.93231235999997</v>
          </cell>
          <cell r="V195">
            <v>15.806489089999999</v>
          </cell>
          <cell r="W195">
            <v>-31.23097228999999</v>
          </cell>
          <cell r="AA195">
            <v>231.08499116749985</v>
          </cell>
          <cell r="AC195">
            <v>-54.448931187500136</v>
          </cell>
          <cell r="AK195">
            <v>41.673000000000002</v>
          </cell>
          <cell r="AN195">
            <v>230.87292235499999</v>
          </cell>
          <cell r="AQ195">
            <v>12.988</v>
          </cell>
          <cell r="AU195">
            <v>-153.95570966</v>
          </cell>
          <cell r="AV195">
            <v>24.006774507499628</v>
          </cell>
          <cell r="AW195">
            <v>0.77902841500000231</v>
          </cell>
        </row>
        <row r="198">
          <cell r="H198">
            <v>373.16265371000003</v>
          </cell>
          <cell r="I198">
            <v>174.39965371</v>
          </cell>
          <cell r="J198">
            <v>35.062653709999999</v>
          </cell>
          <cell r="K198">
            <v>139.33699999999999</v>
          </cell>
          <cell r="L198">
            <v>198.75200000000001</v>
          </cell>
          <cell r="M198">
            <v>1.0999999999999999E-2</v>
          </cell>
          <cell r="N198">
            <v>268.87559090999991</v>
          </cell>
          <cell r="O198">
            <v>280.32858710999994</v>
          </cell>
          <cell r="V198">
            <v>20.14299063</v>
          </cell>
          <cell r="W198">
            <v>-31.595986829999987</v>
          </cell>
          <cell r="AA198">
            <v>235.54551581999988</v>
          </cell>
          <cell r="AC198">
            <v>-49.362538480000126</v>
          </cell>
          <cell r="AK198">
            <v>41.45</v>
          </cell>
          <cell r="AN198">
            <v>230.49905429999998</v>
          </cell>
          <cell r="AQ198">
            <v>12.959</v>
          </cell>
          <cell r="AU198">
            <v>-153.41744753999998</v>
          </cell>
          <cell r="AV198">
            <v>22.41089060999958</v>
          </cell>
          <cell r="AW198">
            <v>0.25189609000000202</v>
          </cell>
        </row>
        <row r="201">
          <cell r="H201">
            <v>387.47510558000005</v>
          </cell>
          <cell r="I201">
            <v>185.92010558000001</v>
          </cell>
          <cell r="J201">
            <v>44.069105580000006</v>
          </cell>
          <cell r="K201">
            <v>141.851</v>
          </cell>
          <cell r="L201">
            <v>201.54400000000001</v>
          </cell>
          <cell r="M201">
            <v>1.0999999999999999E-2</v>
          </cell>
          <cell r="N201">
            <v>288.1936365900001</v>
          </cell>
          <cell r="O201">
            <v>302.89588821000007</v>
          </cell>
          <cell r="V201">
            <v>15.437818180000001</v>
          </cell>
          <cell r="W201">
            <v>-30.140069799999985</v>
          </cell>
          <cell r="AA201">
            <v>235.40502767749987</v>
          </cell>
          <cell r="AC201">
            <v>-60.374535997500146</v>
          </cell>
          <cell r="AK201">
            <v>43.558</v>
          </cell>
          <cell r="AN201">
            <v>238.05256367500002</v>
          </cell>
          <cell r="AQ201">
            <v>14.169</v>
          </cell>
          <cell r="AU201">
            <v>-157.96532689</v>
          </cell>
          <cell r="AV201">
            <v>22.097615297499122</v>
          </cell>
          <cell r="AW201">
            <v>0.25584709500000197</v>
          </cell>
        </row>
        <row r="204">
          <cell r="H204">
            <v>379.58821431000007</v>
          </cell>
          <cell r="I204">
            <v>174.25821431000003</v>
          </cell>
          <cell r="J204">
            <v>39.751214310000009</v>
          </cell>
          <cell r="K204">
            <v>134.50700000000001</v>
          </cell>
          <cell r="L204">
            <v>205.31899999999999</v>
          </cell>
          <cell r="M204">
            <v>1.0999999999999999E-2</v>
          </cell>
          <cell r="N204">
            <v>265.98894236000012</v>
          </cell>
          <cell r="O204">
            <v>278.75695206000012</v>
          </cell>
          <cell r="V204">
            <v>17.339131649999999</v>
          </cell>
          <cell r="W204">
            <v>-30.107141349999985</v>
          </cell>
          <cell r="AA204">
            <v>259.43908678999981</v>
          </cell>
          <cell r="AC204">
            <v>-50.84499144000015</v>
          </cell>
          <cell r="AK204">
            <v>46.764000000000003</v>
          </cell>
          <cell r="AN204">
            <v>245.92807822999998</v>
          </cell>
          <cell r="AQ204">
            <v>17.591999999999999</v>
          </cell>
          <cell r="AU204">
            <v>-159.79177584999996</v>
          </cell>
          <cell r="AV204">
            <v>14.325384034998955</v>
          </cell>
          <cell r="AW204">
            <v>0.37342302500000224</v>
          </cell>
        </row>
        <row r="207">
          <cell r="H207">
            <v>403.33598521000005</v>
          </cell>
          <cell r="I207">
            <v>193.69998520999999</v>
          </cell>
          <cell r="J207">
            <v>45.022985210000002</v>
          </cell>
          <cell r="K207">
            <v>148.67699999999999</v>
          </cell>
          <cell r="L207">
            <v>209.625</v>
          </cell>
          <cell r="M207">
            <v>1.0999999999999999E-2</v>
          </cell>
          <cell r="N207">
            <v>283.20636147000005</v>
          </cell>
          <cell r="O207">
            <v>298.76771657</v>
          </cell>
          <cell r="V207">
            <v>17.890829150000002</v>
          </cell>
          <cell r="W207">
            <v>-33.452184249999988</v>
          </cell>
          <cell r="AA207">
            <v>266.82285441999983</v>
          </cell>
          <cell r="AC207">
            <v>-49.978238160000188</v>
          </cell>
          <cell r="AK207">
            <v>47.517000000000003</v>
          </cell>
          <cell r="AN207">
            <v>250.70409258000001</v>
          </cell>
          <cell r="AQ207">
            <v>18.579999999999998</v>
          </cell>
          <cell r="AU207">
            <v>-164.41750247000002</v>
          </cell>
          <cell r="AV207">
            <v>18.059901719998681</v>
          </cell>
          <cell r="AW207">
            <v>0.33562993000000207</v>
          </cell>
        </row>
        <row r="210">
          <cell r="H210">
            <v>422.31574307</v>
          </cell>
          <cell r="I210">
            <v>202.33674307000001</v>
          </cell>
          <cell r="J210">
            <v>42.488743070000005</v>
          </cell>
          <cell r="K210">
            <v>159.84800000000001</v>
          </cell>
          <cell r="L210">
            <v>219.96799999999999</v>
          </cell>
          <cell r="M210">
            <v>1.0999999999999999E-2</v>
          </cell>
          <cell r="N210">
            <v>300.05389786000001</v>
          </cell>
          <cell r="O210">
            <v>319.86989632000001</v>
          </cell>
          <cell r="V210">
            <v>15.834476720000001</v>
          </cell>
          <cell r="W210">
            <v>-35.650475179999987</v>
          </cell>
          <cell r="AA210">
            <v>277.01871515249979</v>
          </cell>
          <cell r="AC210">
            <v>-48.832451522500193</v>
          </cell>
          <cell r="AK210">
            <v>46.345999999999997</v>
          </cell>
          <cell r="AN210">
            <v>264.45316667499998</v>
          </cell>
          <cell r="AQ210">
            <v>15.052</v>
          </cell>
          <cell r="AU210">
            <v>-172.71182413</v>
          </cell>
          <cell r="AV210">
            <v>18.280080257498586</v>
          </cell>
          <cell r="AW210">
            <v>0.32512607000000071</v>
          </cell>
        </row>
        <row r="213">
          <cell r="H213">
            <v>450.19580541999994</v>
          </cell>
          <cell r="I213">
            <v>226.74080541999999</v>
          </cell>
          <cell r="J213">
            <v>52.832805420000007</v>
          </cell>
          <cell r="K213">
            <v>173.90799999999999</v>
          </cell>
          <cell r="L213">
            <v>223.45400000000001</v>
          </cell>
          <cell r="M213">
            <v>1E-3</v>
          </cell>
          <cell r="N213">
            <v>327.17715810999999</v>
          </cell>
          <cell r="O213">
            <v>337.43295244999996</v>
          </cell>
          <cell r="V213">
            <v>24.018865080000001</v>
          </cell>
          <cell r="W213">
            <v>-34.274659419999992</v>
          </cell>
          <cell r="AA213">
            <v>283.60468065999981</v>
          </cell>
          <cell r="AC213">
            <v>-52.371937050000227</v>
          </cell>
          <cell r="AK213">
            <v>45.198</v>
          </cell>
          <cell r="AN213">
            <v>274.35161771000003</v>
          </cell>
          <cell r="AQ213">
            <v>16.427</v>
          </cell>
          <cell r="AU213">
            <v>-184.52039163000001</v>
          </cell>
          <cell r="AV213">
            <v>24.262378719998498</v>
          </cell>
          <cell r="AW213">
            <v>0.32802044000000069</v>
          </cell>
        </row>
        <row r="216">
          <cell r="H216">
            <v>451.64253354000004</v>
          </cell>
          <cell r="I216">
            <v>225.08153354000001</v>
          </cell>
          <cell r="J216">
            <v>48.438533540000009</v>
          </cell>
          <cell r="K216">
            <v>176.643</v>
          </cell>
          <cell r="L216">
            <v>226.56100000000001</v>
          </cell>
          <cell r="M216">
            <v>0</v>
          </cell>
          <cell r="N216">
            <v>316.25506427999989</v>
          </cell>
          <cell r="O216">
            <v>328.0567415999999</v>
          </cell>
          <cell r="V216">
            <v>24.152888820000001</v>
          </cell>
          <cell r="W216">
            <v>-35.954566139999983</v>
          </cell>
          <cell r="AA216">
            <v>304.95376057249979</v>
          </cell>
          <cell r="AC216">
            <v>-44.061919552500207</v>
          </cell>
          <cell r="AK216">
            <v>44.761000000000003</v>
          </cell>
          <cell r="AN216">
            <v>288.10268012500001</v>
          </cell>
          <cell r="AQ216">
            <v>16.152000000000001</v>
          </cell>
          <cell r="AU216">
            <v>-188.98360610999998</v>
          </cell>
          <cell r="AV216">
            <v>19.665183237498372</v>
          </cell>
          <cell r="AW216">
            <v>0.24786844000000069</v>
          </cell>
        </row>
        <row r="219">
          <cell r="H219">
            <v>470.54361179</v>
          </cell>
          <cell r="I219">
            <v>232.73461179</v>
          </cell>
          <cell r="J219">
            <v>48.478611790000009</v>
          </cell>
          <cell r="K219">
            <v>184.256</v>
          </cell>
          <cell r="L219">
            <v>237.809</v>
          </cell>
          <cell r="M219">
            <v>0</v>
          </cell>
          <cell r="N219">
            <v>362.51812280000001</v>
          </cell>
          <cell r="O219">
            <v>366.24056783999998</v>
          </cell>
          <cell r="V219">
            <v>30.832427540000001</v>
          </cell>
          <cell r="W219">
            <v>-34.554872579999987</v>
          </cell>
          <cell r="AA219">
            <v>288.84300398999977</v>
          </cell>
          <cell r="AC219">
            <v>-74.267640430000228</v>
          </cell>
          <cell r="AK219">
            <v>46.11</v>
          </cell>
          <cell r="AN219">
            <v>301.28164442000002</v>
          </cell>
          <cell r="AQ219">
            <v>15.718999999999999</v>
          </cell>
          <cell r="AU219">
            <v>-188.97373012999998</v>
          </cell>
          <cell r="AV219">
            <v>8.4347026299981511</v>
          </cell>
          <cell r="AW219">
            <v>0.27848750000000178</v>
          </cell>
        </row>
        <row r="222">
          <cell r="H222">
            <v>496.18582248000001</v>
          </cell>
          <cell r="I222">
            <v>235.19782248000001</v>
          </cell>
          <cell r="J222">
            <v>49.243822480000006</v>
          </cell>
          <cell r="K222">
            <v>185.95400000000001</v>
          </cell>
          <cell r="L222">
            <v>260.988</v>
          </cell>
          <cell r="M222">
            <v>0</v>
          </cell>
          <cell r="N222">
            <v>372.83884258000001</v>
          </cell>
          <cell r="O222">
            <v>373.75591046</v>
          </cell>
          <cell r="V222">
            <v>36.353902939999998</v>
          </cell>
          <cell r="W222">
            <v>-37.270970819999988</v>
          </cell>
          <cell r="AA222">
            <v>307.55693549749981</v>
          </cell>
          <cell r="AC222">
            <v>-66.116034407500209</v>
          </cell>
          <cell r="AK222">
            <v>41.369</v>
          </cell>
          <cell r="AN222">
            <v>317.04496990500002</v>
          </cell>
          <cell r="AQ222">
            <v>15.259</v>
          </cell>
          <cell r="AU222">
            <v>-194.88538313999999</v>
          </cell>
          <cell r="AV222">
            <v>10.763083647498235</v>
          </cell>
          <cell r="AW222">
            <v>8.7656105000000303E-2</v>
          </cell>
        </row>
        <row r="225">
          <cell r="H225">
            <v>512.15140653000003</v>
          </cell>
          <cell r="I225">
            <v>259.34240653000001</v>
          </cell>
          <cell r="J225">
            <v>59.930406530000006</v>
          </cell>
          <cell r="K225">
            <v>199.41200000000001</v>
          </cell>
          <cell r="L225">
            <v>252.809</v>
          </cell>
          <cell r="M225">
            <v>0</v>
          </cell>
          <cell r="N225">
            <v>390.51944862000005</v>
          </cell>
          <cell r="O225">
            <v>389.63052894000003</v>
          </cell>
          <cell r="V225">
            <v>38.00732335</v>
          </cell>
          <cell r="W225">
            <v>-37.118403669999992</v>
          </cell>
          <cell r="AA225">
            <v>304.02118145249977</v>
          </cell>
          <cell r="AC225">
            <v>-89.225764992500217</v>
          </cell>
          <cell r="AK225">
            <v>43.235999999999997</v>
          </cell>
          <cell r="AN225">
            <v>333.78894644500002</v>
          </cell>
          <cell r="AQ225">
            <v>16.222000000000001</v>
          </cell>
          <cell r="AU225">
            <v>-193.65502147999999</v>
          </cell>
          <cell r="AV225">
            <v>11.396071022498479</v>
          </cell>
          <cell r="AW225">
            <v>0.13027308500000226</v>
          </cell>
        </row>
        <row r="228">
          <cell r="H228">
            <v>503.55209074000004</v>
          </cell>
          <cell r="I228">
            <v>238.34109074</v>
          </cell>
          <cell r="J228">
            <v>51.301090740000006</v>
          </cell>
          <cell r="K228">
            <v>187.04</v>
          </cell>
          <cell r="L228">
            <v>265.21100000000001</v>
          </cell>
          <cell r="M228">
            <v>0</v>
          </cell>
          <cell r="N228">
            <v>389.73577964999998</v>
          </cell>
          <cell r="O228">
            <v>377.96987268999999</v>
          </cell>
          <cell r="V228">
            <v>47.310532099999996</v>
          </cell>
          <cell r="W228">
            <v>-35.544625139999994</v>
          </cell>
          <cell r="AA228">
            <v>311.68998251499983</v>
          </cell>
          <cell r="AC228">
            <v>-91.612027865000158</v>
          </cell>
          <cell r="AK228">
            <v>42.509</v>
          </cell>
          <cell r="AN228">
            <v>345.46901037999999</v>
          </cell>
          <cell r="AQ228">
            <v>15.324</v>
          </cell>
          <cell r="AU228">
            <v>-198.50450985000001</v>
          </cell>
          <cell r="AV228">
            <v>0.92420646999838207</v>
          </cell>
          <cell r="AW228">
            <v>0.29336804500000219</v>
          </cell>
        </row>
        <row r="231">
          <cell r="H231">
            <v>534.85810493000008</v>
          </cell>
          <cell r="I231">
            <v>263.64910493000002</v>
          </cell>
          <cell r="J231">
            <v>60.816104930000002</v>
          </cell>
          <cell r="K231">
            <v>202.833</v>
          </cell>
          <cell r="L231">
            <v>271.209</v>
          </cell>
          <cell r="M231">
            <v>0</v>
          </cell>
          <cell r="N231">
            <v>428.1240123300002</v>
          </cell>
          <cell r="O231">
            <v>420.52209403000018</v>
          </cell>
          <cell r="V231">
            <v>43.866702510000003</v>
          </cell>
          <cell r="W231">
            <v>-36.264784209999981</v>
          </cell>
          <cell r="AA231">
            <v>301.8970831124999</v>
          </cell>
          <cell r="AC231">
            <v>-114.73282917250012</v>
          </cell>
          <cell r="AK231">
            <v>43.372999999999998</v>
          </cell>
          <cell r="AN231">
            <v>371.85691228500002</v>
          </cell>
          <cell r="AQ231">
            <v>1.4</v>
          </cell>
          <cell r="AU231">
            <v>-196.64586120999999</v>
          </cell>
          <cell r="AV231">
            <v>1.6393083124985641</v>
          </cell>
          <cell r="AW231">
            <v>0.15643761500000283</v>
          </cell>
        </row>
        <row r="234">
          <cell r="H234">
            <v>549.71261488999994</v>
          </cell>
          <cell r="I234">
            <v>248.88961489000002</v>
          </cell>
          <cell r="J234">
            <v>58.702614890000014</v>
          </cell>
          <cell r="K234">
            <v>190.18700000000001</v>
          </cell>
          <cell r="L234">
            <v>300.82299999999998</v>
          </cell>
          <cell r="M234">
            <v>0</v>
          </cell>
          <cell r="N234">
            <v>418.97707993000017</v>
          </cell>
          <cell r="O234">
            <v>411.29462740000014</v>
          </cell>
          <cell r="V234">
            <v>42.753985999999998</v>
          </cell>
          <cell r="W234">
            <v>-35.071533469999977</v>
          </cell>
          <cell r="AA234">
            <v>319.80668884249991</v>
          </cell>
          <cell r="AC234">
            <v>-110.37183937250011</v>
          </cell>
          <cell r="AK234">
            <v>45.088000000000001</v>
          </cell>
          <cell r="AN234">
            <v>383.01552821500002</v>
          </cell>
          <cell r="AQ234">
            <v>2.0750000000000002</v>
          </cell>
          <cell r="AU234">
            <v>-191.28077149000001</v>
          </cell>
          <cell r="AV234">
            <v>2.518141437498314</v>
          </cell>
          <cell r="AW234">
            <v>0.30852383000000422</v>
          </cell>
        </row>
        <row r="237">
          <cell r="H237">
            <v>560.56991612000002</v>
          </cell>
          <cell r="I237">
            <v>251.24591612</v>
          </cell>
          <cell r="J237">
            <v>69.259916120000014</v>
          </cell>
          <cell r="K237">
            <v>181.98599999999999</v>
          </cell>
          <cell r="L237">
            <v>309.32400000000001</v>
          </cell>
          <cell r="M237">
            <v>0</v>
          </cell>
          <cell r="N237">
            <v>441.77225371000026</v>
          </cell>
          <cell r="O237">
            <v>430.31214086000023</v>
          </cell>
          <cell r="V237">
            <v>47.057352109999997</v>
          </cell>
          <cell r="W237">
            <v>-35.597239259999988</v>
          </cell>
          <cell r="AA237">
            <v>306.63100837249982</v>
          </cell>
          <cell r="AC237">
            <v>-135.13284565250012</v>
          </cell>
          <cell r="AK237">
            <v>53.423999999999999</v>
          </cell>
          <cell r="AN237">
            <v>386.17285402499999</v>
          </cell>
          <cell r="AQ237">
            <v>2.1669999999999998</v>
          </cell>
          <cell r="AU237">
            <v>-197.06837998</v>
          </cell>
          <cell r="AV237">
            <v>9.4598918924983089</v>
          </cell>
          <cell r="AW237">
            <v>0.22485787500000362</v>
          </cell>
        </row>
        <row r="240">
          <cell r="H240">
            <v>558.70055769999999</v>
          </cell>
          <cell r="I240">
            <v>247.55655769999998</v>
          </cell>
          <cell r="J240">
            <v>67.337557700000005</v>
          </cell>
          <cell r="K240">
            <v>180.21899999999999</v>
          </cell>
          <cell r="L240">
            <v>311.14400000000001</v>
          </cell>
          <cell r="M240">
            <v>0</v>
          </cell>
          <cell r="N240">
            <v>461.71848215000034</v>
          </cell>
          <cell r="O240">
            <v>456.63188079000031</v>
          </cell>
          <cell r="V240">
            <v>40.557307510000001</v>
          </cell>
          <cell r="W240">
            <v>-35.470706149999984</v>
          </cell>
          <cell r="AA240">
            <v>289.86558094749989</v>
          </cell>
          <cell r="AC240">
            <v>-157.70222526750013</v>
          </cell>
          <cell r="AK240">
            <v>53.091999999999999</v>
          </cell>
          <cell r="AN240">
            <v>392.73180621500001</v>
          </cell>
          <cell r="AQ240">
            <v>1.744</v>
          </cell>
          <cell r="AU240">
            <v>-202.54509224999998</v>
          </cell>
          <cell r="AV240">
            <v>9.8434720174983816</v>
          </cell>
          <cell r="AW240">
            <v>0.18188516500001387</v>
          </cell>
        </row>
        <row r="243">
          <cell r="H243">
            <v>575.36111471000004</v>
          </cell>
          <cell r="I243">
            <v>252.31311470999998</v>
          </cell>
          <cell r="J243">
            <v>70.123114709999996</v>
          </cell>
          <cell r="K243">
            <v>182.19</v>
          </cell>
          <cell r="L243">
            <v>323.048</v>
          </cell>
          <cell r="M243">
            <v>0</v>
          </cell>
          <cell r="N243">
            <v>485.27294835000032</v>
          </cell>
          <cell r="O243">
            <v>478.99241233000038</v>
          </cell>
          <cell r="V243">
            <v>42.428686620000001</v>
          </cell>
          <cell r="W243">
            <v>-36.148150599999987</v>
          </cell>
          <cell r="AA243">
            <v>282.89056048749984</v>
          </cell>
          <cell r="AC243">
            <v>-169.11003472750014</v>
          </cell>
          <cell r="AK243">
            <v>52.091999999999999</v>
          </cell>
          <cell r="AN243">
            <v>397.49359521499997</v>
          </cell>
          <cell r="AQ243">
            <v>2.415</v>
          </cell>
          <cell r="AU243">
            <v>-201.48736796</v>
          </cell>
          <cell r="AV243">
            <v>8.8976168424984063</v>
          </cell>
          <cell r="AW243">
            <v>0.21264301000001445</v>
          </cell>
        </row>
        <row r="246">
          <cell r="H246">
            <v>595.23814905000006</v>
          </cell>
          <cell r="I246">
            <v>276.23414905000004</v>
          </cell>
          <cell r="J246">
            <v>66.126149050000024</v>
          </cell>
          <cell r="K246">
            <v>210.108</v>
          </cell>
          <cell r="L246">
            <v>319.00400000000002</v>
          </cell>
          <cell r="M246">
            <v>0</v>
          </cell>
          <cell r="N246">
            <v>470.14355765000039</v>
          </cell>
          <cell r="O246">
            <v>461.90861747000037</v>
          </cell>
          <cell r="V246">
            <v>52.267090779999997</v>
          </cell>
          <cell r="W246">
            <v>-44.032150599999994</v>
          </cell>
          <cell r="AA246">
            <v>328.14712011249986</v>
          </cell>
          <cell r="AC246">
            <v>-136.44818134250013</v>
          </cell>
          <cell r="AK246">
            <v>54.168999999999997</v>
          </cell>
          <cell r="AN246">
            <v>407.68730145500001</v>
          </cell>
          <cell r="AQ246">
            <v>2.7389999999999999</v>
          </cell>
          <cell r="AU246">
            <v>-211.34691244999999</v>
          </cell>
          <cell r="AV246">
            <v>8.6297121724982215</v>
          </cell>
          <cell r="AW246">
            <v>0.33532843500001286</v>
          </cell>
        </row>
        <row r="249">
          <cell r="H249">
            <v>605.25311915999998</v>
          </cell>
          <cell r="I249">
            <v>291.67911915999997</v>
          </cell>
          <cell r="J249">
            <v>73.06711915999999</v>
          </cell>
          <cell r="K249">
            <v>218.61199999999999</v>
          </cell>
          <cell r="L249">
            <v>313.57400000000001</v>
          </cell>
          <cell r="M249">
            <v>0</v>
          </cell>
          <cell r="N249">
            <v>500.49331716000029</v>
          </cell>
          <cell r="O249">
            <v>489.23454177000031</v>
          </cell>
          <cell r="V249">
            <v>50.327051160000003</v>
          </cell>
          <cell r="W249">
            <v>-39.068275769999985</v>
          </cell>
          <cell r="AA249">
            <v>305.09545641499994</v>
          </cell>
          <cell r="AC249">
            <v>-176.22744544500009</v>
          </cell>
          <cell r="AK249">
            <v>59.087000000000003</v>
          </cell>
          <cell r="AN249">
            <v>419.77790185999999</v>
          </cell>
          <cell r="AQ249">
            <v>2.4580000000000002</v>
          </cell>
          <cell r="AU249">
            <v>-208.70026274</v>
          </cell>
          <cell r="AV249">
            <v>8.6995024799982055</v>
          </cell>
          <cell r="AW249">
            <v>0.33489415500001302</v>
          </cell>
        </row>
        <row r="252">
          <cell r="H252">
            <v>583.48569739000004</v>
          </cell>
          <cell r="I252">
            <v>272.65869738999999</v>
          </cell>
          <cell r="J252">
            <v>60.877697390000002</v>
          </cell>
          <cell r="K252">
            <v>211.78100000000001</v>
          </cell>
          <cell r="L252">
            <v>310.827</v>
          </cell>
          <cell r="M252">
            <v>0</v>
          </cell>
          <cell r="N252">
            <v>482.03638703999991</v>
          </cell>
          <cell r="O252">
            <v>476.55647874999994</v>
          </cell>
          <cell r="V252">
            <v>43.649838949999996</v>
          </cell>
          <cell r="W252">
            <v>-38.169930659999991</v>
          </cell>
          <cell r="AA252">
            <v>316.19929193249988</v>
          </cell>
          <cell r="AC252">
            <v>-176.54702086250006</v>
          </cell>
          <cell r="AK252">
            <v>60.017000000000003</v>
          </cell>
          <cell r="AN252">
            <v>430.49531279499996</v>
          </cell>
          <cell r="AQ252">
            <v>2.234</v>
          </cell>
          <cell r="AU252">
            <v>-223.11712257000002</v>
          </cell>
          <cell r="AV252">
            <v>8.6924163024980885</v>
          </cell>
          <cell r="AW252">
            <v>0.32527531500001283</v>
          </cell>
        </row>
        <row r="255">
          <cell r="H255">
            <v>600.09352372000012</v>
          </cell>
          <cell r="I255">
            <v>281.88052372000004</v>
          </cell>
          <cell r="J255">
            <v>70.253523720000004</v>
          </cell>
          <cell r="K255">
            <v>211.62700000000001</v>
          </cell>
          <cell r="L255">
            <v>318.21300000000002</v>
          </cell>
          <cell r="M255">
            <v>0</v>
          </cell>
          <cell r="N255">
            <v>506.33770723000026</v>
          </cell>
          <cell r="O255">
            <v>495.94341098000029</v>
          </cell>
          <cell r="V255">
            <v>49.37443056</v>
          </cell>
          <cell r="W255">
            <v>-38.98013430999999</v>
          </cell>
          <cell r="AA255">
            <v>299.54171657499995</v>
          </cell>
          <cell r="AC255">
            <v>-190.87925971500007</v>
          </cell>
          <cell r="AK255">
            <v>59.904000000000003</v>
          </cell>
          <cell r="AN255">
            <v>427.59097629000001</v>
          </cell>
          <cell r="AQ255">
            <v>2.9260000000000002</v>
          </cell>
          <cell r="AU255">
            <v>-227.68076594000001</v>
          </cell>
          <cell r="AV255">
            <v>22.305315879997995</v>
          </cell>
          <cell r="AW255">
            <v>0.41045002500001282</v>
          </cell>
        </row>
        <row r="258">
          <cell r="H258">
            <v>594.53325356999994</v>
          </cell>
          <cell r="I258">
            <v>278.72425356999997</v>
          </cell>
          <cell r="J258">
            <v>63.194253570000001</v>
          </cell>
          <cell r="K258">
            <v>215.53</v>
          </cell>
          <cell r="L258">
            <v>315.80900000000003</v>
          </cell>
          <cell r="M258">
            <v>0</v>
          </cell>
          <cell r="N258">
            <v>504.45705121000037</v>
          </cell>
          <cell r="O258">
            <v>501.59764240000038</v>
          </cell>
          <cell r="V258">
            <v>46.039517590000003</v>
          </cell>
          <cell r="W258">
            <v>-43.180108779999983</v>
          </cell>
          <cell r="AA258">
            <v>316.86568496249998</v>
          </cell>
          <cell r="AC258">
            <v>-181.00319470250005</v>
          </cell>
          <cell r="AK258">
            <v>63.8</v>
          </cell>
          <cell r="AN258">
            <v>430.21887966500003</v>
          </cell>
          <cell r="AQ258">
            <v>3.85</v>
          </cell>
          <cell r="AU258">
            <v>-236.78287623</v>
          </cell>
          <cell r="AV258">
            <v>10.50328086749815</v>
          </cell>
          <cell r="AW258">
            <v>0.50988724000001384</v>
          </cell>
        </row>
        <row r="261">
          <cell r="H261">
            <v>603.55640229000005</v>
          </cell>
          <cell r="I261">
            <v>278.46240229</v>
          </cell>
          <cell r="J261">
            <v>67.392402289999993</v>
          </cell>
          <cell r="K261">
            <v>211.07</v>
          </cell>
          <cell r="L261">
            <v>325.09399999999999</v>
          </cell>
          <cell r="M261">
            <v>0</v>
          </cell>
          <cell r="N261">
            <v>499.63178758000038</v>
          </cell>
          <cell r="O261">
            <v>499.01426563000041</v>
          </cell>
          <cell r="V261">
            <v>46.592451270000005</v>
          </cell>
          <cell r="W261">
            <v>-45.974929319999987</v>
          </cell>
          <cell r="AA261">
            <v>319.58106715249994</v>
          </cell>
          <cell r="AC261">
            <v>-179.82746809250003</v>
          </cell>
          <cell r="AK261">
            <v>63.283000000000001</v>
          </cell>
          <cell r="AN261">
            <v>433.386535245</v>
          </cell>
          <cell r="AQ261">
            <v>2.7389999999999999</v>
          </cell>
          <cell r="AU261">
            <v>-221.25124756000002</v>
          </cell>
          <cell r="AV261">
            <v>6.0945098674980906</v>
          </cell>
          <cell r="AW261">
            <v>0.49971475000001403</v>
          </cell>
        </row>
        <row r="264">
          <cell r="H264">
            <v>596.35198548999995</v>
          </cell>
          <cell r="I264">
            <v>282.90498548999994</v>
          </cell>
          <cell r="J264">
            <v>66.270985489999987</v>
          </cell>
          <cell r="K264">
            <v>216.63399999999999</v>
          </cell>
          <cell r="L264">
            <v>313.447</v>
          </cell>
          <cell r="M264">
            <v>0</v>
          </cell>
          <cell r="N264">
            <v>485.30086086000034</v>
          </cell>
          <cell r="O264">
            <v>469.09117355000029</v>
          </cell>
          <cell r="V264">
            <v>48.804338240000007</v>
          </cell>
          <cell r="W264">
            <v>-32.594650929999986</v>
          </cell>
          <cell r="AA264">
            <v>333.42968462999994</v>
          </cell>
          <cell r="AC264">
            <v>-170.50801892000001</v>
          </cell>
          <cell r="AK264">
            <v>61.390999999999998</v>
          </cell>
          <cell r="AN264">
            <v>440.37370354999996</v>
          </cell>
          <cell r="AQ264">
            <v>2.173</v>
          </cell>
          <cell r="AU264">
            <v>-232.08125417000002</v>
          </cell>
          <cell r="AV264">
            <v>10.236367904998181</v>
          </cell>
          <cell r="AW264">
            <v>0.53367373500001392</v>
          </cell>
        </row>
        <row r="267">
          <cell r="H267">
            <v>607.06326046000004</v>
          </cell>
          <cell r="I267">
            <v>273.21326046000001</v>
          </cell>
          <cell r="J267">
            <v>71.374260460000002</v>
          </cell>
          <cell r="K267">
            <v>201.839</v>
          </cell>
          <cell r="L267">
            <v>333.85</v>
          </cell>
          <cell r="M267">
            <v>0</v>
          </cell>
          <cell r="N267">
            <v>570.62967516000037</v>
          </cell>
          <cell r="O267">
            <v>553.06529849000037</v>
          </cell>
          <cell r="V267">
            <v>48.854677080000002</v>
          </cell>
          <cell r="W267">
            <v>-31.290300409999986</v>
          </cell>
          <cell r="AA267">
            <v>251.89579316500004</v>
          </cell>
          <cell r="AC267">
            <v>-244.84482490499994</v>
          </cell>
          <cell r="AK267">
            <v>61.646999999999998</v>
          </cell>
          <cell r="AN267">
            <v>432.74261806999999</v>
          </cell>
          <cell r="AQ267">
            <v>2.351</v>
          </cell>
          <cell r="AU267">
            <v>-229.30787053</v>
          </cell>
          <cell r="AV267">
            <v>14.508876669998331</v>
          </cell>
          <cell r="AW267">
            <v>0.66321400500001615</v>
          </cell>
        </row>
        <row r="270">
          <cell r="H270">
            <v>640.78721369000004</v>
          </cell>
          <cell r="I270">
            <v>302.54521369000003</v>
          </cell>
          <cell r="J270">
            <v>75.191213690000012</v>
          </cell>
          <cell r="K270">
            <v>227.35400000000001</v>
          </cell>
          <cell r="L270">
            <v>338.24200000000002</v>
          </cell>
          <cell r="M270">
            <v>0</v>
          </cell>
          <cell r="N270">
            <v>605.43606652000051</v>
          </cell>
          <cell r="O270">
            <v>582.45508486000051</v>
          </cell>
          <cell r="V270">
            <v>55.031741580000002</v>
          </cell>
          <cell r="W270">
            <v>-32.05075991999999</v>
          </cell>
          <cell r="AA270">
            <v>268.66117989500009</v>
          </cell>
          <cell r="AC270">
            <v>-226.3235932149999</v>
          </cell>
          <cell r="AK270">
            <v>59.837000000000003</v>
          </cell>
          <cell r="AN270">
            <v>432.86777311000003</v>
          </cell>
          <cell r="AQ270">
            <v>2.2799999999999998</v>
          </cell>
          <cell r="AU270">
            <v>-240.53383274000001</v>
          </cell>
          <cell r="AV270">
            <v>8.3735481699984664</v>
          </cell>
          <cell r="AW270">
            <v>1.1497481550000168</v>
          </cell>
        </row>
        <row r="273">
          <cell r="H273">
            <v>709.10141291000002</v>
          </cell>
          <cell r="I273">
            <v>352.72441291000001</v>
          </cell>
          <cell r="J273">
            <v>96.264412910000019</v>
          </cell>
          <cell r="K273">
            <v>256.45999999999998</v>
          </cell>
          <cell r="L273">
            <v>356.37700000000001</v>
          </cell>
          <cell r="M273">
            <v>0</v>
          </cell>
          <cell r="N273">
            <v>702.70670397000038</v>
          </cell>
          <cell r="O273">
            <v>679.66940342000044</v>
          </cell>
          <cell r="V273">
            <v>56.640767120000007</v>
          </cell>
          <cell r="W273">
            <v>-33.603466569999981</v>
          </cell>
          <cell r="AA273">
            <v>239.55189111250007</v>
          </cell>
          <cell r="AC273">
            <v>-253.90783720249993</v>
          </cell>
          <cell r="AK273">
            <v>56.423000000000002</v>
          </cell>
          <cell r="AN273">
            <v>434.89772831499999</v>
          </cell>
          <cell r="AQ273">
            <v>2.1389999999999998</v>
          </cell>
          <cell r="AU273">
            <v>-226.0403738</v>
          </cell>
          <cell r="AV273">
            <v>-6.2487297025016382</v>
          </cell>
          <cell r="AW273">
            <v>0.86807867000001626</v>
          </cell>
        </row>
        <row r="276">
          <cell r="H276">
            <v>708.57718569999997</v>
          </cell>
          <cell r="I276">
            <v>339.62918569999999</v>
          </cell>
          <cell r="J276">
            <v>86.457185699999997</v>
          </cell>
          <cell r="K276">
            <v>253.172</v>
          </cell>
          <cell r="L276">
            <v>368.94799999999998</v>
          </cell>
          <cell r="M276">
            <v>0</v>
          </cell>
          <cell r="N276">
            <v>714.47001235000062</v>
          </cell>
          <cell r="O276">
            <v>689.69930771000054</v>
          </cell>
          <cell r="V276">
            <v>57.796318540000001</v>
          </cell>
          <cell r="W276">
            <v>-33.025613899999982</v>
          </cell>
          <cell r="AA276">
            <v>225.76783441750007</v>
          </cell>
          <cell r="AC276">
            <v>-261.24365950749996</v>
          </cell>
          <cell r="AK276">
            <v>54.481999999999999</v>
          </cell>
          <cell r="AN276">
            <v>430.60749392500003</v>
          </cell>
          <cell r="AQ276">
            <v>1.9219999999999999</v>
          </cell>
          <cell r="AU276">
            <v>-227.01587129999999</v>
          </cell>
          <cell r="AV276">
            <v>-3.8377134725017239</v>
          </cell>
          <cell r="AW276">
            <v>0.8070762950000151</v>
          </cell>
        </row>
        <row r="279">
          <cell r="H279">
            <v>765.76077975999999</v>
          </cell>
          <cell r="I279">
            <v>375.12077976</v>
          </cell>
          <cell r="J279">
            <v>95.418779760000007</v>
          </cell>
          <cell r="K279">
            <v>279.702</v>
          </cell>
          <cell r="L279">
            <v>390.64</v>
          </cell>
          <cell r="M279">
            <v>0</v>
          </cell>
          <cell r="N279">
            <v>747.73349659000007</v>
          </cell>
          <cell r="O279">
            <v>719.79392528000005</v>
          </cell>
          <cell r="V279">
            <v>59.313667159999994</v>
          </cell>
          <cell r="W279">
            <v>-31.374095849999982</v>
          </cell>
          <cell r="AA279">
            <v>223.14359405500011</v>
          </cell>
          <cell r="AC279">
            <v>-257.90950590499989</v>
          </cell>
          <cell r="AK279">
            <v>50.323999999999998</v>
          </cell>
          <cell r="AN279">
            <v>428.80409995999997</v>
          </cell>
          <cell r="AQ279">
            <v>1.925</v>
          </cell>
          <cell r="AU279">
            <v>-207.23419131000003</v>
          </cell>
          <cell r="AV279">
            <v>2.9284201449983667</v>
          </cell>
          <cell r="AW279">
            <v>0.81053972000001484</v>
          </cell>
        </row>
        <row r="282">
          <cell r="H282">
            <v>783.79384871000002</v>
          </cell>
          <cell r="I282">
            <v>380.98984870999999</v>
          </cell>
          <cell r="J282">
            <v>95.685848710000002</v>
          </cell>
          <cell r="K282">
            <v>285.30399999999997</v>
          </cell>
          <cell r="L282">
            <v>402.80399999999997</v>
          </cell>
          <cell r="M282">
            <v>0</v>
          </cell>
          <cell r="N282">
            <v>742.79080490000001</v>
          </cell>
          <cell r="O282">
            <v>761.84761722999997</v>
          </cell>
          <cell r="V282">
            <v>55.738542129999999</v>
          </cell>
          <cell r="W282">
            <v>-74.795354459999984</v>
          </cell>
          <cell r="AA282">
            <v>255.37389574000014</v>
          </cell>
          <cell r="AC282">
            <v>-219.51792791999986</v>
          </cell>
          <cell r="AK282">
            <v>48.640999999999998</v>
          </cell>
          <cell r="AN282">
            <v>424.41282366000002</v>
          </cell>
          <cell r="AQ282">
            <v>1.8380000000000001</v>
          </cell>
          <cell r="AU282">
            <v>-211.39558290000002</v>
          </cell>
          <cell r="AV282">
            <v>-2.0571452950012246</v>
          </cell>
          <cell r="AW282">
            <v>0.91812373500001521</v>
          </cell>
        </row>
        <row r="285">
          <cell r="H285">
            <v>822.87256848999994</v>
          </cell>
          <cell r="I285">
            <v>410.13656848999995</v>
          </cell>
          <cell r="J285">
            <v>108.30856849</v>
          </cell>
          <cell r="K285">
            <v>301.82799999999997</v>
          </cell>
          <cell r="L285">
            <v>412.73599999999999</v>
          </cell>
          <cell r="M285">
            <v>0</v>
          </cell>
          <cell r="N285">
            <v>795.23350363999964</v>
          </cell>
          <cell r="O285">
            <v>822.82991294999965</v>
          </cell>
          <cell r="V285">
            <v>50.866734199999996</v>
          </cell>
          <cell r="W285">
            <v>-78.463143509999981</v>
          </cell>
          <cell r="AA285">
            <v>240.43828412500011</v>
          </cell>
          <cell r="AC285">
            <v>-230.0982425549999</v>
          </cell>
          <cell r="AK285">
            <v>46.326999999999998</v>
          </cell>
          <cell r="AN285">
            <v>422.21952668</v>
          </cell>
          <cell r="AQ285">
            <v>1.99</v>
          </cell>
          <cell r="AU285">
            <v>-218.42754486000001</v>
          </cell>
          <cell r="AV285">
            <v>6.4222116349992353</v>
          </cell>
          <cell r="AW285">
            <v>0.79388605000001544</v>
          </cell>
        </row>
        <row r="288">
          <cell r="H288">
            <v>844.89906262</v>
          </cell>
          <cell r="I288">
            <v>437.11006262000001</v>
          </cell>
          <cell r="J288">
            <v>115.93206262000004</v>
          </cell>
          <cell r="K288">
            <v>321.178</v>
          </cell>
          <cell r="L288">
            <v>407.78899999999999</v>
          </cell>
          <cell r="M288">
            <v>0</v>
          </cell>
          <cell r="N288">
            <v>852.81110959000011</v>
          </cell>
          <cell r="O288">
            <v>867.84060784000008</v>
          </cell>
          <cell r="V288">
            <v>59.774059880000003</v>
          </cell>
          <cell r="W288">
            <v>-74.803558129999985</v>
          </cell>
          <cell r="AA288">
            <v>218.98053869000009</v>
          </cell>
          <cell r="AC288">
            <v>-257.06953459999988</v>
          </cell>
          <cell r="AK288">
            <v>44.472999999999999</v>
          </cell>
          <cell r="AN288">
            <v>429.89807328999996</v>
          </cell>
          <cell r="AQ288">
            <v>1.679</v>
          </cell>
          <cell r="AU288">
            <v>-241.56603530000001</v>
          </cell>
          <cell r="AV288">
            <v>15.59867690999987</v>
          </cell>
          <cell r="AW288">
            <v>0.92522727000001548</v>
          </cell>
        </row>
        <row r="291">
          <cell r="H291">
            <v>846.68426681999995</v>
          </cell>
          <cell r="I291">
            <v>428.20826681999995</v>
          </cell>
          <cell r="J291">
            <v>108.58226681999999</v>
          </cell>
          <cell r="K291">
            <v>319.62599999999998</v>
          </cell>
          <cell r="L291">
            <v>418.476</v>
          </cell>
          <cell r="M291">
            <v>0</v>
          </cell>
          <cell r="N291">
            <v>849.90945367000006</v>
          </cell>
          <cell r="O291">
            <v>878.2137568500001</v>
          </cell>
          <cell r="V291">
            <v>44.81843362</v>
          </cell>
          <cell r="W291">
            <v>-73.122736799999984</v>
          </cell>
          <cell r="AA291">
            <v>223.42700594750013</v>
          </cell>
          <cell r="AC291">
            <v>-257.12703477749983</v>
          </cell>
          <cell r="AK291">
            <v>45.959000000000003</v>
          </cell>
          <cell r="AN291">
            <v>432.46904072499996</v>
          </cell>
          <cell r="AQ291">
            <v>2.1259999999999999</v>
          </cell>
          <cell r="AU291">
            <v>-237.74498619000002</v>
          </cell>
          <cell r="AV291">
            <v>11.394051482500007</v>
          </cell>
          <cell r="AW291">
            <v>0.30125809000001597</v>
          </cell>
        </row>
        <row r="294">
          <cell r="H294">
            <v>843.37744367999994</v>
          </cell>
          <cell r="I294">
            <v>421.11044368</v>
          </cell>
          <cell r="J294">
            <v>104.29544368000001</v>
          </cell>
          <cell r="K294">
            <v>316.815</v>
          </cell>
          <cell r="L294">
            <v>422.267</v>
          </cell>
          <cell r="M294">
            <v>0</v>
          </cell>
          <cell r="N294">
            <v>875.01275300000032</v>
          </cell>
          <cell r="O294">
            <v>902.5273899900003</v>
          </cell>
          <cell r="V294">
            <v>47.404032579999999</v>
          </cell>
          <cell r="W294">
            <v>-74.918669569999992</v>
          </cell>
          <cell r="AA294">
            <v>200.86577790250013</v>
          </cell>
          <cell r="AC294">
            <v>-286.10291013249986</v>
          </cell>
          <cell r="AK294">
            <v>45.271999999999998</v>
          </cell>
          <cell r="AN294">
            <v>439.52768803499998</v>
          </cell>
          <cell r="AQ294">
            <v>2.169</v>
          </cell>
          <cell r="AU294">
            <v>-241.94243106000002</v>
          </cell>
          <cell r="AV294">
            <v>9.8801887375003279</v>
          </cell>
          <cell r="AW294">
            <v>0.43884490000001575</v>
          </cell>
        </row>
        <row r="297">
          <cell r="H297">
            <v>851.18793737999999</v>
          </cell>
          <cell r="I297">
            <v>434.43193738000002</v>
          </cell>
          <cell r="J297">
            <v>102.91593738</v>
          </cell>
          <cell r="K297">
            <v>331.51600000000002</v>
          </cell>
          <cell r="L297">
            <v>416.75599999999997</v>
          </cell>
          <cell r="M297">
            <v>0</v>
          </cell>
          <cell r="N297">
            <v>858.1226668200004</v>
          </cell>
          <cell r="O297">
            <v>879.15059251000037</v>
          </cell>
          <cell r="V297">
            <v>52.974173459999996</v>
          </cell>
          <cell r="W297">
            <v>-74.002099149999978</v>
          </cell>
          <cell r="AA297">
            <v>233.32589139500016</v>
          </cell>
          <cell r="AC297">
            <v>-264.13651276499985</v>
          </cell>
          <cell r="AK297">
            <v>38.725999999999999</v>
          </cell>
          <cell r="AN297">
            <v>454.69840416</v>
          </cell>
          <cell r="AQ297">
            <v>4.0380000000000003</v>
          </cell>
          <cell r="AU297">
            <v>-252.92745399</v>
          </cell>
          <cell r="AV297">
            <v>12.965037320000453</v>
          </cell>
          <cell r="AW297">
            <v>0.29820416500001456</v>
          </cell>
        </row>
        <row r="300">
          <cell r="H300">
            <v>843.63900470999999</v>
          </cell>
          <cell r="I300">
            <v>411.26000470999998</v>
          </cell>
          <cell r="J300">
            <v>88.14400470999999</v>
          </cell>
          <cell r="K300">
            <v>323.11599999999999</v>
          </cell>
          <cell r="L300">
            <v>432.37900000000002</v>
          </cell>
          <cell r="M300">
            <v>0</v>
          </cell>
          <cell r="N300">
            <v>872.64848307000045</v>
          </cell>
          <cell r="O300">
            <v>898.00975383000036</v>
          </cell>
          <cell r="V300">
            <v>47.424945489999999</v>
          </cell>
          <cell r="W300">
            <v>-72.786216249999981</v>
          </cell>
          <cell r="AA300">
            <v>220.32481956250004</v>
          </cell>
          <cell r="AC300">
            <v>-289.5062763224999</v>
          </cell>
          <cell r="AK300">
            <v>37.183999999999997</v>
          </cell>
          <cell r="AN300">
            <v>451.73809588499995</v>
          </cell>
          <cell r="AQ300">
            <v>20.908999999999999</v>
          </cell>
          <cell r="AU300">
            <v>-263.99126766000001</v>
          </cell>
          <cell r="AV300">
            <v>15.117920692500476</v>
          </cell>
          <cell r="AW300">
            <v>0.46095095500001265</v>
          </cell>
        </row>
        <row r="303">
          <cell r="H303">
            <v>841.84791960999996</v>
          </cell>
          <cell r="I303">
            <v>431.09591961000001</v>
          </cell>
          <cell r="J303">
            <v>92.755919610000007</v>
          </cell>
          <cell r="K303">
            <v>338.34</v>
          </cell>
          <cell r="L303">
            <v>410.75200000000001</v>
          </cell>
          <cell r="M303">
            <v>0</v>
          </cell>
          <cell r="N303">
            <v>887.13018075000036</v>
          </cell>
          <cell r="O303">
            <v>941.10995301000037</v>
          </cell>
          <cell r="V303">
            <v>47.624314669999997</v>
          </cell>
          <cell r="W303">
            <v>-101.60408692999998</v>
          </cell>
          <cell r="AA303">
            <v>188.24338043250006</v>
          </cell>
          <cell r="AC303">
            <v>-325.35869758249993</v>
          </cell>
          <cell r="AK303">
            <v>35.927999999999997</v>
          </cell>
          <cell r="AN303">
            <v>470.949078015</v>
          </cell>
          <cell r="AQ303">
            <v>6.7249999999999996</v>
          </cell>
          <cell r="AU303">
            <v>-271.47164354</v>
          </cell>
          <cell r="AV303">
            <v>38.273488417500786</v>
          </cell>
          <cell r="AW303">
            <v>0.3274864500000127</v>
          </cell>
        </row>
        <row r="306">
          <cell r="H306">
            <v>847.82817724000006</v>
          </cell>
          <cell r="I306">
            <v>437.69417723999999</v>
          </cell>
          <cell r="J306">
            <v>88.939177240000006</v>
          </cell>
          <cell r="K306">
            <v>348.755</v>
          </cell>
          <cell r="L306">
            <v>410.13400000000001</v>
          </cell>
          <cell r="M306">
            <v>0</v>
          </cell>
          <cell r="N306">
            <v>865.15999915999998</v>
          </cell>
          <cell r="O306">
            <v>908.96133171999998</v>
          </cell>
          <cell r="V306">
            <v>51.10835058</v>
          </cell>
          <cell r="W306">
            <v>-94.909683139999999</v>
          </cell>
          <cell r="AA306">
            <v>221.96540287000005</v>
          </cell>
          <cell r="AC306">
            <v>-303.95187470999997</v>
          </cell>
          <cell r="AK306">
            <v>33.768000000000001</v>
          </cell>
          <cell r="AN306">
            <v>485.77927757999998</v>
          </cell>
          <cell r="AQ306">
            <v>6.37</v>
          </cell>
          <cell r="AU306">
            <v>-268.82983429000001</v>
          </cell>
          <cell r="AV306">
            <v>30.005155534999975</v>
          </cell>
          <cell r="AW306">
            <v>0.47254603499999986</v>
          </cell>
        </row>
        <row r="309">
          <cell r="H309">
            <v>868.13511687000005</v>
          </cell>
          <cell r="I309">
            <v>452.10211687000003</v>
          </cell>
          <cell r="J309">
            <v>101.44211687000002</v>
          </cell>
          <cell r="K309">
            <v>350.66</v>
          </cell>
          <cell r="L309">
            <v>416.03300000000002</v>
          </cell>
          <cell r="M309">
            <v>0</v>
          </cell>
          <cell r="N309">
            <v>880.6444988400001</v>
          </cell>
          <cell r="O309">
            <v>925.69253750000007</v>
          </cell>
          <cell r="V309">
            <v>50.493894640000001</v>
          </cell>
          <cell r="W309">
            <v>-95.541933300000011</v>
          </cell>
          <cell r="AA309">
            <v>245.28144468249997</v>
          </cell>
          <cell r="AC309">
            <v>-295.75353985250001</v>
          </cell>
          <cell r="AK309">
            <v>35.75</v>
          </cell>
          <cell r="AN309">
            <v>497.72198453499999</v>
          </cell>
          <cell r="AQ309">
            <v>7.5629999999999997</v>
          </cell>
          <cell r="AU309">
            <v>-287.76597346</v>
          </cell>
          <cell r="AV309">
            <v>30.27724732749995</v>
          </cell>
          <cell r="AW309">
            <v>0.30210051999999982</v>
          </cell>
        </row>
        <row r="312">
          <cell r="H312">
            <v>852.98585926999999</v>
          </cell>
          <cell r="I312">
            <v>445.06685927000001</v>
          </cell>
          <cell r="J312">
            <v>90.794859270000003</v>
          </cell>
          <cell r="K312">
            <v>354.27199999999999</v>
          </cell>
          <cell r="L312">
            <v>407.91899999999998</v>
          </cell>
          <cell r="M312">
            <v>0</v>
          </cell>
          <cell r="N312">
            <v>847.71407892999991</v>
          </cell>
          <cell r="O312">
            <v>892.50089679999996</v>
          </cell>
          <cell r="V312">
            <v>52.4559766</v>
          </cell>
          <cell r="W312">
            <v>-97.242794470000007</v>
          </cell>
          <cell r="AA312">
            <v>261.3135858375</v>
          </cell>
          <cell r="AC312">
            <v>-279.14368349749998</v>
          </cell>
          <cell r="AK312">
            <v>29.256</v>
          </cell>
          <cell r="AN312">
            <v>503.17726933500001</v>
          </cell>
          <cell r="AQ312">
            <v>8.0239999999999991</v>
          </cell>
          <cell r="AU312">
            <v>-290.35712262999999</v>
          </cell>
          <cell r="AV312">
            <v>34.717661187499935</v>
          </cell>
          <cell r="AW312">
            <v>0.40234405499999981</v>
          </cell>
        </row>
        <row r="315">
          <cell r="H315">
            <v>906.05136768</v>
          </cell>
          <cell r="I315">
            <v>499.10236767999999</v>
          </cell>
          <cell r="J315">
            <v>98.934367679999994</v>
          </cell>
          <cell r="K315">
            <v>400.16800000000001</v>
          </cell>
          <cell r="L315">
            <v>406.94900000000001</v>
          </cell>
          <cell r="M315">
            <v>0</v>
          </cell>
          <cell r="N315">
            <v>935.04395810000017</v>
          </cell>
          <cell r="O315">
            <v>952.79320062000011</v>
          </cell>
          <cell r="V315">
            <v>52.769029119999999</v>
          </cell>
          <cell r="W315">
            <v>-70.518271639999995</v>
          </cell>
          <cell r="AA315">
            <v>215.08570868000004</v>
          </cell>
          <cell r="AC315">
            <v>-325.30786890999997</v>
          </cell>
          <cell r="AK315">
            <v>26.943000000000001</v>
          </cell>
          <cell r="AN315">
            <v>505.53757759000001</v>
          </cell>
          <cell r="AQ315">
            <v>7.9130000000000003</v>
          </cell>
          <cell r="AU315">
            <v>-288.83615760000004</v>
          </cell>
          <cell r="AV315">
            <v>45.219840845000043</v>
          </cell>
          <cell r="AW315">
            <v>0.46198234500000002</v>
          </cell>
        </row>
        <row r="318">
          <cell r="H318">
            <v>901.57953216999999</v>
          </cell>
          <cell r="I318">
            <v>481.87853216999997</v>
          </cell>
          <cell r="J318">
            <v>94.861532170000004</v>
          </cell>
          <cell r="K318">
            <v>387.017</v>
          </cell>
          <cell r="L318">
            <v>419.70100000000002</v>
          </cell>
          <cell r="M318">
            <v>0</v>
          </cell>
          <cell r="N318">
            <v>891.26368248000006</v>
          </cell>
          <cell r="O318">
            <v>915.88383735000002</v>
          </cell>
          <cell r="V318">
            <v>48.476689759999999</v>
          </cell>
          <cell r="W318">
            <v>-73.096844629999993</v>
          </cell>
          <cell r="AA318">
            <v>248.52021801000006</v>
          </cell>
          <cell r="AC318">
            <v>-299.13508297999999</v>
          </cell>
          <cell r="AK318">
            <v>26.957000000000001</v>
          </cell>
          <cell r="AN318">
            <v>512.79230099000006</v>
          </cell>
          <cell r="AQ318">
            <v>7.9059999999999997</v>
          </cell>
          <cell r="AU318">
            <v>-278.35450464000002</v>
          </cell>
          <cell r="AV318">
            <v>40.648898499999987</v>
          </cell>
          <cell r="AW318">
            <v>0.49876036000000001</v>
          </cell>
        </row>
        <row r="321">
          <cell r="H321">
            <v>937.45848649999994</v>
          </cell>
          <cell r="I321">
            <v>539.87048649999997</v>
          </cell>
          <cell r="J321">
            <v>110.24748649999999</v>
          </cell>
          <cell r="K321">
            <v>429.62299999999999</v>
          </cell>
          <cell r="L321">
            <v>397.58800000000002</v>
          </cell>
          <cell r="M321">
            <v>0</v>
          </cell>
          <cell r="N321">
            <v>892.94548729000007</v>
          </cell>
          <cell r="O321">
            <v>919.43226240000001</v>
          </cell>
          <cell r="V321">
            <v>49.526358549999998</v>
          </cell>
          <cell r="W321">
            <v>-76.013133659999994</v>
          </cell>
          <cell r="AA321">
            <v>297.94817833249999</v>
          </cell>
          <cell r="AC321">
            <v>-304.42219417250004</v>
          </cell>
          <cell r="AK321">
            <v>59.777000000000001</v>
          </cell>
          <cell r="AN321">
            <v>534.92137250500002</v>
          </cell>
          <cell r="AQ321">
            <v>7.6719999999999997</v>
          </cell>
          <cell r="AU321">
            <v>-290.97690448000003</v>
          </cell>
          <cell r="AV321">
            <v>37.795325177499969</v>
          </cell>
          <cell r="AW321">
            <v>0.25359982000000003</v>
          </cell>
        </row>
        <row r="324">
          <cell r="H324">
            <v>914.11412695000001</v>
          </cell>
          <cell r="I324">
            <v>498.05512694999999</v>
          </cell>
          <cell r="J324">
            <v>100.21612694999999</v>
          </cell>
          <cell r="K324">
            <v>397.839</v>
          </cell>
          <cell r="L324">
            <v>416.05900000000003</v>
          </cell>
          <cell r="M324">
            <v>0</v>
          </cell>
          <cell r="N324">
            <v>846.47647389000008</v>
          </cell>
          <cell r="O324">
            <v>875.82074716</v>
          </cell>
          <cell r="V324">
            <v>45.56344146</v>
          </cell>
          <cell r="W324">
            <v>-74.907714730000009</v>
          </cell>
          <cell r="AA324">
            <v>326.4102763075</v>
          </cell>
          <cell r="AC324">
            <v>-291.04160462750002</v>
          </cell>
          <cell r="AK324">
            <v>61.728000000000002</v>
          </cell>
          <cell r="AN324">
            <v>547.882880935</v>
          </cell>
          <cell r="AQ324">
            <v>7.8410000000000002</v>
          </cell>
          <cell r="AU324">
            <v>-297.09528989999995</v>
          </cell>
          <cell r="AV324">
            <v>39.0016299125</v>
          </cell>
          <cell r="AW324">
            <v>0.67896149000000006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/>
      <sheetData sheetId="34" refreshError="1"/>
      <sheetData sheetId="35" refreshError="1"/>
      <sheetData sheetId="36" refreshError="1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W144"/>
  <sheetViews>
    <sheetView tabSelected="1" zoomScale="120" zoomScaleNormal="120" workbookViewId="0">
      <pane ySplit="8" topLeftCell="A129" activePane="bottomLeft" state="frozen"/>
      <selection pane="bottomLeft" activeCell="C142" sqref="C142"/>
    </sheetView>
  </sheetViews>
  <sheetFormatPr defaultRowHeight="14.4" x14ac:dyDescent="0.3"/>
  <cols>
    <col min="1" max="1" width="10.44140625" customWidth="1"/>
    <col min="2" max="2" width="11.5546875" customWidth="1"/>
    <col min="6" max="6" width="1.5546875" customWidth="1"/>
    <col min="7" max="7" width="8.77734375" style="112"/>
    <col min="9" max="9" width="13.77734375" bestFit="1" customWidth="1"/>
    <col min="11" max="11" width="11.21875" customWidth="1"/>
    <col min="12" max="12" width="10" customWidth="1"/>
    <col min="14" max="14" width="7.21875" bestFit="1" customWidth="1"/>
    <col min="15" max="15" width="8.77734375" style="112"/>
    <col min="16" max="16" width="10.21875" customWidth="1"/>
    <col min="17" max="17" width="12.21875" customWidth="1"/>
    <col min="18" max="18" width="11.44140625" customWidth="1"/>
    <col min="19" max="20" width="10" customWidth="1"/>
  </cols>
  <sheetData>
    <row r="1" spans="1:23" x14ac:dyDescent="0.3">
      <c r="A1" s="1" t="s">
        <v>0</v>
      </c>
      <c r="B1" s="1"/>
      <c r="C1" s="2"/>
      <c r="D1" s="2"/>
      <c r="E1" s="2"/>
      <c r="F1" s="2"/>
      <c r="G1" s="105"/>
      <c r="H1" s="2"/>
      <c r="I1" s="2"/>
      <c r="J1" s="2"/>
      <c r="K1" s="2"/>
      <c r="L1" s="2"/>
      <c r="M1" s="2"/>
      <c r="N1" s="1"/>
      <c r="O1" s="105"/>
      <c r="P1" s="2"/>
      <c r="Q1" s="2"/>
      <c r="R1" s="2"/>
      <c r="S1" s="2"/>
      <c r="T1" s="3" t="s">
        <v>1</v>
      </c>
      <c r="U1" s="2"/>
    </row>
    <row r="2" spans="1:23" ht="17.25" customHeight="1" x14ac:dyDescent="0.3">
      <c r="A2" s="176" t="s">
        <v>2</v>
      </c>
      <c r="B2" s="176"/>
      <c r="C2" s="176"/>
      <c r="D2" s="176"/>
      <c r="E2" s="176"/>
      <c r="F2" s="176"/>
      <c r="G2" s="176"/>
      <c r="H2" s="176"/>
      <c r="I2" s="176"/>
      <c r="J2" s="176"/>
      <c r="K2" s="176"/>
      <c r="L2" s="176"/>
      <c r="M2" s="2"/>
      <c r="N2" s="176" t="s">
        <v>2</v>
      </c>
      <c r="O2" s="176"/>
      <c r="P2" s="176"/>
      <c r="Q2" s="176"/>
      <c r="R2" s="176"/>
      <c r="S2" s="176"/>
      <c r="T2" s="176"/>
      <c r="U2" s="2"/>
    </row>
    <row r="3" spans="1:23" ht="15.75" customHeight="1" x14ac:dyDescent="0.3">
      <c r="A3" s="177" t="s">
        <v>3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4"/>
      <c r="N3" s="177" t="s">
        <v>4</v>
      </c>
      <c r="O3" s="177"/>
      <c r="P3" s="177"/>
      <c r="Q3" s="177"/>
      <c r="R3" s="177"/>
      <c r="S3" s="177"/>
      <c r="T3" s="177"/>
      <c r="U3" s="4"/>
      <c r="W3" t="s">
        <v>99</v>
      </c>
    </row>
    <row r="4" spans="1:23" ht="18" customHeight="1" x14ac:dyDescent="0.3">
      <c r="A4" s="5"/>
      <c r="B4" s="5"/>
      <c r="C4" s="6"/>
      <c r="D4" s="6"/>
      <c r="E4" s="6"/>
      <c r="F4" s="6"/>
      <c r="G4" s="106"/>
      <c r="H4" s="6"/>
      <c r="I4" s="6"/>
      <c r="J4" s="6"/>
      <c r="K4" s="6"/>
      <c r="L4" s="7"/>
      <c r="M4" s="4"/>
      <c r="N4" s="8"/>
      <c r="O4" s="117"/>
      <c r="P4" s="9"/>
      <c r="Q4" s="9"/>
      <c r="R4" s="10"/>
      <c r="S4" s="11"/>
      <c r="T4" s="9"/>
      <c r="U4" s="4"/>
    </row>
    <row r="5" spans="1:23" ht="15" customHeight="1" x14ac:dyDescent="0.3">
      <c r="A5" s="12"/>
      <c r="B5" s="178" t="s">
        <v>5</v>
      </c>
      <c r="C5" s="13" t="s">
        <v>6</v>
      </c>
      <c r="D5" s="14"/>
      <c r="E5" s="15"/>
      <c r="F5" s="16"/>
      <c r="G5" s="180" t="s">
        <v>7</v>
      </c>
      <c r="H5" s="180"/>
      <c r="I5" s="180"/>
      <c r="J5" s="180"/>
      <c r="K5" s="180"/>
      <c r="L5" s="17" t="s">
        <v>8</v>
      </c>
      <c r="M5" s="18"/>
      <c r="N5" s="12"/>
      <c r="O5" s="118" t="s">
        <v>9</v>
      </c>
      <c r="P5" s="181" t="s">
        <v>10</v>
      </c>
      <c r="Q5" s="182"/>
      <c r="R5" s="182"/>
      <c r="S5" s="183" t="s">
        <v>11</v>
      </c>
      <c r="T5" s="186" t="s">
        <v>12</v>
      </c>
      <c r="U5" s="20"/>
      <c r="V5" s="21"/>
    </row>
    <row r="6" spans="1:23" x14ac:dyDescent="0.3">
      <c r="A6" s="22" t="s">
        <v>13</v>
      </c>
      <c r="B6" s="179"/>
      <c r="C6" s="23" t="s">
        <v>14</v>
      </c>
      <c r="D6" s="23" t="s">
        <v>15</v>
      </c>
      <c r="E6" s="23" t="s">
        <v>16</v>
      </c>
      <c r="F6" s="24"/>
      <c r="G6" s="107"/>
      <c r="H6" s="25" t="s">
        <v>17</v>
      </c>
      <c r="I6" s="23" t="s">
        <v>89</v>
      </c>
      <c r="J6" s="23" t="s">
        <v>18</v>
      </c>
      <c r="K6" s="23" t="s">
        <v>91</v>
      </c>
      <c r="L6" s="26" t="s">
        <v>19</v>
      </c>
      <c r="M6" s="18"/>
      <c r="N6" s="27" t="s">
        <v>13</v>
      </c>
      <c r="O6" s="119" t="s">
        <v>20</v>
      </c>
      <c r="P6" s="19" t="s">
        <v>9</v>
      </c>
      <c r="Q6" s="19" t="s">
        <v>21</v>
      </c>
      <c r="R6" s="19" t="s">
        <v>22</v>
      </c>
      <c r="S6" s="184"/>
      <c r="T6" s="187"/>
      <c r="U6" s="30"/>
      <c r="V6" s="31"/>
    </row>
    <row r="7" spans="1:23" x14ac:dyDescent="0.3">
      <c r="A7" s="22" t="s">
        <v>23</v>
      </c>
      <c r="B7" s="179"/>
      <c r="C7" s="29" t="s">
        <v>24</v>
      </c>
      <c r="D7" s="29" t="s">
        <v>24</v>
      </c>
      <c r="E7" s="29" t="s">
        <v>25</v>
      </c>
      <c r="F7" s="29"/>
      <c r="G7" s="108" t="s">
        <v>9</v>
      </c>
      <c r="H7" s="28" t="s">
        <v>26</v>
      </c>
      <c r="I7" s="29" t="s">
        <v>90</v>
      </c>
      <c r="J7" s="29" t="s">
        <v>27</v>
      </c>
      <c r="K7" s="24" t="s">
        <v>90</v>
      </c>
      <c r="L7" s="32" t="s">
        <v>26</v>
      </c>
      <c r="M7" s="33"/>
      <c r="N7" s="27" t="s">
        <v>23</v>
      </c>
      <c r="O7" s="120" t="s">
        <v>28</v>
      </c>
      <c r="P7" s="34" t="s">
        <v>29</v>
      </c>
      <c r="Q7" s="34" t="s">
        <v>30</v>
      </c>
      <c r="R7" s="34" t="s">
        <v>31</v>
      </c>
      <c r="S7" s="184"/>
      <c r="T7" s="187"/>
      <c r="U7" s="35"/>
      <c r="V7" s="36"/>
    </row>
    <row r="8" spans="1:23" x14ac:dyDescent="0.3">
      <c r="A8" s="37" t="s">
        <v>32</v>
      </c>
      <c r="B8" s="38" t="s">
        <v>33</v>
      </c>
      <c r="C8" s="39"/>
      <c r="D8" s="38" t="s">
        <v>98</v>
      </c>
      <c r="E8" s="39"/>
      <c r="F8" s="39"/>
      <c r="G8" s="109"/>
      <c r="H8" s="39"/>
      <c r="I8" s="39"/>
      <c r="J8" s="39"/>
      <c r="K8" s="40"/>
      <c r="L8" s="41"/>
      <c r="M8" s="42"/>
      <c r="N8" s="37"/>
      <c r="O8" s="121" t="s">
        <v>34</v>
      </c>
      <c r="P8" s="43"/>
      <c r="Q8" s="43"/>
      <c r="R8" s="43"/>
      <c r="S8" s="185"/>
      <c r="T8" s="188"/>
      <c r="U8" s="44" t="s">
        <v>35</v>
      </c>
    </row>
    <row r="9" spans="1:23" hidden="1" x14ac:dyDescent="0.3">
      <c r="A9" s="61" t="s">
        <v>48</v>
      </c>
      <c r="B9" s="99">
        <f>B37</f>
        <v>89.70684700000001</v>
      </c>
      <c r="C9" s="99">
        <f>C37</f>
        <v>34.428746000000004</v>
      </c>
      <c r="D9" s="99">
        <f>D37</f>
        <v>39.713329000000002</v>
      </c>
      <c r="E9" s="99">
        <f>E37</f>
        <v>-5.2845829999999996</v>
      </c>
      <c r="F9" s="99"/>
      <c r="G9" s="110">
        <f t="shared" ref="G9:L9" si="0">G37</f>
        <v>79.472786999999997</v>
      </c>
      <c r="H9" s="99">
        <f t="shared" si="0"/>
        <v>1.3837869999999999</v>
      </c>
      <c r="I9" s="99">
        <f t="shared" si="0"/>
        <v>1.472</v>
      </c>
      <c r="J9" s="99">
        <f t="shared" si="0"/>
        <v>80.834999999999994</v>
      </c>
      <c r="K9" s="99">
        <f t="shared" si="0"/>
        <v>-4.218</v>
      </c>
      <c r="L9" s="100">
        <f t="shared" si="0"/>
        <v>-24.19468599999999</v>
      </c>
      <c r="M9" s="33"/>
      <c r="N9" s="61" t="str">
        <f t="shared" ref="N9" si="1">A9</f>
        <v>1998/99</v>
      </c>
      <c r="O9" s="122">
        <f t="shared" ref="O9:T9" si="2">O37</f>
        <v>89.70684700000001</v>
      </c>
      <c r="P9" s="102">
        <f t="shared" si="2"/>
        <v>24.664847000000002</v>
      </c>
      <c r="Q9" s="113">
        <f t="shared" si="2"/>
        <v>7.3178469999999995</v>
      </c>
      <c r="R9" s="113">
        <f t="shared" si="2"/>
        <v>17.347000000000001</v>
      </c>
      <c r="S9" s="113">
        <f t="shared" si="2"/>
        <v>65.042000000000002</v>
      </c>
      <c r="T9" s="115">
        <f t="shared" si="2"/>
        <v>0</v>
      </c>
      <c r="U9" s="154">
        <f t="shared" ref="U9" si="3">O9-C9-G9-L9</f>
        <v>0</v>
      </c>
    </row>
    <row r="10" spans="1:23" hidden="1" x14ac:dyDescent="0.3">
      <c r="A10" s="61" t="s">
        <v>49</v>
      </c>
      <c r="B10" s="99">
        <f>B41</f>
        <v>97.189998000000003</v>
      </c>
      <c r="C10" s="99">
        <f>C41</f>
        <v>26.853230999999997</v>
      </c>
      <c r="D10" s="99">
        <f>D41</f>
        <v>31.961378999999997</v>
      </c>
      <c r="E10" s="99">
        <f>E41</f>
        <v>-5.1081479999999999</v>
      </c>
      <c r="F10" s="99"/>
      <c r="G10" s="110">
        <f t="shared" ref="G10:L10" si="4">G41</f>
        <v>89.182791999999992</v>
      </c>
      <c r="H10" s="99">
        <f t="shared" si="4"/>
        <v>0.78279200000000237</v>
      </c>
      <c r="I10" s="99">
        <f t="shared" si="4"/>
        <v>2.2770000000000001</v>
      </c>
      <c r="J10" s="99">
        <f t="shared" si="4"/>
        <v>86.468999999999994</v>
      </c>
      <c r="K10" s="99">
        <f t="shared" si="4"/>
        <v>-0.34599999999999997</v>
      </c>
      <c r="L10" s="100">
        <f t="shared" si="4"/>
        <v>-18.846024999999983</v>
      </c>
      <c r="M10" s="33"/>
      <c r="N10" s="61" t="str">
        <f t="shared" ref="N10" si="5">A10</f>
        <v>1999/00</v>
      </c>
      <c r="O10" s="122">
        <f t="shared" ref="O10:T10" si="6">O41</f>
        <v>97.189998000000003</v>
      </c>
      <c r="P10" s="102">
        <f t="shared" si="6"/>
        <v>27.819997999999998</v>
      </c>
      <c r="Q10" s="113">
        <f t="shared" si="6"/>
        <v>8.0399979999999989</v>
      </c>
      <c r="R10" s="113">
        <f t="shared" si="6"/>
        <v>19.78</v>
      </c>
      <c r="S10" s="113">
        <f t="shared" si="6"/>
        <v>69.37</v>
      </c>
      <c r="T10" s="115">
        <f t="shared" si="6"/>
        <v>0</v>
      </c>
      <c r="U10" s="154">
        <f t="shared" ref="U10" si="7">O10-C10-G10-L10</f>
        <v>0</v>
      </c>
    </row>
    <row r="11" spans="1:23" hidden="1" x14ac:dyDescent="0.3">
      <c r="A11" s="61" t="s">
        <v>50</v>
      </c>
      <c r="B11" s="99">
        <f>B45</f>
        <v>123.044398</v>
      </c>
      <c r="C11" s="99">
        <f>C45</f>
        <v>32.765209000000006</v>
      </c>
      <c r="D11" s="99">
        <f>D45</f>
        <v>46.537209000000004</v>
      </c>
      <c r="E11" s="99">
        <f>E45</f>
        <v>-13.772</v>
      </c>
      <c r="F11" s="99"/>
      <c r="G11" s="110">
        <f t="shared" ref="G11:L11" si="8">G45</f>
        <v>119.0904140496755</v>
      </c>
      <c r="H11" s="99">
        <f t="shared" si="8"/>
        <v>4.2644140496754979</v>
      </c>
      <c r="I11" s="99">
        <f t="shared" si="8"/>
        <v>5.4180000000000001</v>
      </c>
      <c r="J11" s="99">
        <f t="shared" si="8"/>
        <v>107.886</v>
      </c>
      <c r="K11" s="99">
        <f t="shared" si="8"/>
        <v>1.522</v>
      </c>
      <c r="L11" s="100">
        <f t="shared" si="8"/>
        <v>-28.8112250496755</v>
      </c>
      <c r="M11" s="33"/>
      <c r="N11" s="61" t="str">
        <f t="shared" ref="N11" si="9">A11</f>
        <v>2000/01</v>
      </c>
      <c r="O11" s="122">
        <f t="shared" ref="O11:T11" si="10">O45</f>
        <v>123.044398</v>
      </c>
      <c r="P11" s="102">
        <f t="shared" si="10"/>
        <v>32.998398000000002</v>
      </c>
      <c r="Q11" s="113">
        <f t="shared" si="10"/>
        <v>10.352397999999999</v>
      </c>
      <c r="R11" s="113">
        <f t="shared" si="10"/>
        <v>22.646000000000001</v>
      </c>
      <c r="S11" s="113">
        <f t="shared" si="10"/>
        <v>90.046000000000006</v>
      </c>
      <c r="T11" s="115">
        <f t="shared" si="10"/>
        <v>0</v>
      </c>
      <c r="U11" s="154">
        <f t="shared" ref="U11" si="11">O11-C11-G11-L11</f>
        <v>0</v>
      </c>
    </row>
    <row r="12" spans="1:23" hidden="1" x14ac:dyDescent="0.3">
      <c r="A12" s="61" t="s">
        <v>51</v>
      </c>
      <c r="B12" s="99">
        <f>B49</f>
        <v>132.67171500000001</v>
      </c>
      <c r="C12" s="99">
        <f>C49</f>
        <v>33.524782000000002</v>
      </c>
      <c r="D12" s="99">
        <f>D49</f>
        <v>44.583499000000003</v>
      </c>
      <c r="E12" s="99">
        <f>E49</f>
        <v>-11.058717</v>
      </c>
      <c r="F12" s="99"/>
      <c r="G12" s="110">
        <f t="shared" ref="G12:L12" si="12">G49</f>
        <v>130.20322025947002</v>
      </c>
      <c r="H12" s="99">
        <f t="shared" si="12"/>
        <v>-5.6377797405299965</v>
      </c>
      <c r="I12" s="99">
        <f t="shared" si="12"/>
        <v>9.4529999999999994</v>
      </c>
      <c r="J12" s="99">
        <f t="shared" si="12"/>
        <v>125.196</v>
      </c>
      <c r="K12" s="99">
        <f t="shared" si="12"/>
        <v>1.1919999999999999</v>
      </c>
      <c r="L12" s="100">
        <f t="shared" si="12"/>
        <v>-31.056287259470011</v>
      </c>
      <c r="M12" s="33"/>
      <c r="N12" s="61" t="str">
        <f t="shared" ref="N12:N24" si="13">A12</f>
        <v>2001/02</v>
      </c>
      <c r="O12" s="122">
        <f t="shared" ref="O12:T12" si="14">O49</f>
        <v>132.67171500000001</v>
      </c>
      <c r="P12" s="102">
        <f t="shared" si="14"/>
        <v>42.364714999999997</v>
      </c>
      <c r="Q12" s="113">
        <f t="shared" si="14"/>
        <v>11.923715</v>
      </c>
      <c r="R12" s="113">
        <f t="shared" si="14"/>
        <v>30.440999999999999</v>
      </c>
      <c r="S12" s="113">
        <f t="shared" si="14"/>
        <v>90.307000000000016</v>
      </c>
      <c r="T12" s="115">
        <f t="shared" si="14"/>
        <v>0</v>
      </c>
      <c r="U12" s="154">
        <f t="shared" ref="U12:U24" si="15">O12-C12-G12-L12</f>
        <v>0</v>
      </c>
    </row>
    <row r="13" spans="1:23" hidden="1" x14ac:dyDescent="0.3">
      <c r="A13" s="61" t="s">
        <v>52</v>
      </c>
      <c r="B13" s="99">
        <f>B53</f>
        <v>150.49400200000002</v>
      </c>
      <c r="C13" s="99">
        <f>C53</f>
        <v>31.306988000000004</v>
      </c>
      <c r="D13" s="99">
        <f>D53</f>
        <v>49.172988000000004</v>
      </c>
      <c r="E13" s="99">
        <f>E53</f>
        <v>-17.866</v>
      </c>
      <c r="F13" s="99"/>
      <c r="G13" s="110">
        <f t="shared" ref="G13:L13" si="16">G53</f>
        <v>151.33118014317338</v>
      </c>
      <c r="H13" s="99">
        <f t="shared" si="16"/>
        <v>1.6151801431733972</v>
      </c>
      <c r="I13" s="99">
        <f t="shared" si="16"/>
        <v>12.217000000000001</v>
      </c>
      <c r="J13" s="99">
        <f t="shared" si="16"/>
        <v>138.626</v>
      </c>
      <c r="K13" s="99">
        <f t="shared" si="16"/>
        <v>-1.127</v>
      </c>
      <c r="L13" s="100">
        <f t="shared" si="16"/>
        <v>-32.144166143173365</v>
      </c>
      <c r="M13" s="33"/>
      <c r="N13" s="61" t="str">
        <f t="shared" si="13"/>
        <v>2002/03</v>
      </c>
      <c r="O13" s="122">
        <f t="shared" ref="O13:T13" si="17">O53</f>
        <v>150.49400200000002</v>
      </c>
      <c r="P13" s="102">
        <f t="shared" si="17"/>
        <v>51.629002</v>
      </c>
      <c r="Q13" s="113">
        <f t="shared" si="17"/>
        <v>12.879002</v>
      </c>
      <c r="R13" s="113">
        <f t="shared" si="17"/>
        <v>38.75</v>
      </c>
      <c r="S13" s="113">
        <f t="shared" si="17"/>
        <v>98.865000000000009</v>
      </c>
      <c r="T13" s="115">
        <f t="shared" si="17"/>
        <v>0</v>
      </c>
      <c r="U13" s="154">
        <f t="shared" si="15"/>
        <v>0</v>
      </c>
    </row>
    <row r="14" spans="1:23" hidden="1" x14ac:dyDescent="0.3">
      <c r="A14" s="61" t="s">
        <v>53</v>
      </c>
      <c r="B14" s="99">
        <f>B57</f>
        <v>178.477903</v>
      </c>
      <c r="C14" s="99">
        <f>C57</f>
        <v>85.550751679334056</v>
      </c>
      <c r="D14" s="99">
        <f>D57</f>
        <v>109.31183</v>
      </c>
      <c r="E14" s="99">
        <f>E57</f>
        <v>-23.761078320665941</v>
      </c>
      <c r="F14" s="99"/>
      <c r="G14" s="110">
        <f t="shared" ref="G14:L14" si="18">G57</f>
        <v>131.82614260856599</v>
      </c>
      <c r="H14" s="99">
        <f t="shared" si="18"/>
        <v>-10.731857391433998</v>
      </c>
      <c r="I14" s="99">
        <f t="shared" si="18"/>
        <v>11.077999999999999</v>
      </c>
      <c r="J14" s="99">
        <f t="shared" si="18"/>
        <v>133.357</v>
      </c>
      <c r="K14" s="99">
        <f t="shared" si="18"/>
        <v>-1.877</v>
      </c>
      <c r="L14" s="100">
        <f t="shared" si="18"/>
        <v>-38.898991287900046</v>
      </c>
      <c r="M14" s="33"/>
      <c r="N14" s="61" t="str">
        <f t="shared" si="13"/>
        <v>2003/04</v>
      </c>
      <c r="O14" s="122">
        <f t="shared" ref="O14:T14" si="19">O57</f>
        <v>178.477903</v>
      </c>
      <c r="P14" s="102">
        <f t="shared" si="19"/>
        <v>65.822902999999997</v>
      </c>
      <c r="Q14" s="113">
        <f t="shared" si="19"/>
        <v>15.198903</v>
      </c>
      <c r="R14" s="113">
        <f t="shared" si="19"/>
        <v>50.624000000000002</v>
      </c>
      <c r="S14" s="113">
        <f t="shared" si="19"/>
        <v>112.655</v>
      </c>
      <c r="T14" s="115">
        <f t="shared" si="19"/>
        <v>0</v>
      </c>
      <c r="U14" s="154">
        <f t="shared" si="15"/>
        <v>0</v>
      </c>
    </row>
    <row r="15" spans="1:23" hidden="1" x14ac:dyDescent="0.3">
      <c r="A15" s="61" t="s">
        <v>54</v>
      </c>
      <c r="B15" s="99">
        <f>B61</f>
        <v>200.089204</v>
      </c>
      <c r="C15" s="99">
        <f>C61</f>
        <v>77.172061999999997</v>
      </c>
      <c r="D15" s="99">
        <f>D61</f>
        <v>91.775515999999996</v>
      </c>
      <c r="E15" s="99">
        <f>E61</f>
        <v>-14.603454000000001</v>
      </c>
      <c r="F15" s="99"/>
      <c r="G15" s="110">
        <f t="shared" ref="G15:L15" si="20">G61</f>
        <v>165.51327600000002</v>
      </c>
      <c r="H15" s="99">
        <f t="shared" si="20"/>
        <v>-26.311723999999995</v>
      </c>
      <c r="I15" s="99">
        <f t="shared" si="20"/>
        <v>6.4290000000000003</v>
      </c>
      <c r="J15" s="99">
        <f t="shared" si="20"/>
        <v>189.85900000000001</v>
      </c>
      <c r="K15" s="99">
        <f t="shared" si="20"/>
        <v>-4.4630000000000001</v>
      </c>
      <c r="L15" s="100">
        <f t="shared" si="20"/>
        <v>-42.596134000000021</v>
      </c>
      <c r="M15" s="33"/>
      <c r="N15" s="61" t="str">
        <f t="shared" si="13"/>
        <v>2004/05</v>
      </c>
      <c r="O15" s="122">
        <f t="shared" ref="O15:T15" si="21">O61</f>
        <v>200.089204</v>
      </c>
      <c r="P15" s="102">
        <f t="shared" si="21"/>
        <v>68.729203999999996</v>
      </c>
      <c r="Q15" s="113">
        <f t="shared" si="21"/>
        <v>14.894204</v>
      </c>
      <c r="R15" s="113">
        <f t="shared" si="21"/>
        <v>53.835000000000001</v>
      </c>
      <c r="S15" s="113">
        <f t="shared" si="21"/>
        <v>131.36000000000001</v>
      </c>
      <c r="T15" s="115">
        <f t="shared" si="21"/>
        <v>0</v>
      </c>
      <c r="U15" s="154">
        <f t="shared" si="15"/>
        <v>0</v>
      </c>
    </row>
    <row r="16" spans="1:23" hidden="1" x14ac:dyDescent="0.3">
      <c r="A16" s="61" t="s">
        <v>55</v>
      </c>
      <c r="B16" s="99">
        <f>B65</f>
        <v>228.897165</v>
      </c>
      <c r="C16" s="99">
        <f>C65</f>
        <v>72.551353999999989</v>
      </c>
      <c r="D16" s="99">
        <f>D65</f>
        <v>95.010268999999994</v>
      </c>
      <c r="E16" s="99">
        <f>E65</f>
        <v>-22.458915000000001</v>
      </c>
      <c r="F16" s="99"/>
      <c r="G16" s="110">
        <f t="shared" ref="G16:L16" si="22">G65</f>
        <v>213.46575999999999</v>
      </c>
      <c r="H16" s="99">
        <f t="shared" si="22"/>
        <v>-19.075239999999997</v>
      </c>
      <c r="I16" s="99">
        <f t="shared" si="22"/>
        <v>3.94</v>
      </c>
      <c r="J16" s="99">
        <f t="shared" si="22"/>
        <v>233.84200000000001</v>
      </c>
      <c r="K16" s="99">
        <f t="shared" si="22"/>
        <v>-5.2409999999999997</v>
      </c>
      <c r="L16" s="100">
        <f t="shared" si="22"/>
        <v>-57.119948999999963</v>
      </c>
      <c r="M16" s="33"/>
      <c r="N16" s="61" t="str">
        <f t="shared" si="13"/>
        <v>2005/06</v>
      </c>
      <c r="O16" s="122">
        <f t="shared" ref="O16:T16" si="23">O65</f>
        <v>228.897165</v>
      </c>
      <c r="P16" s="102">
        <f t="shared" si="23"/>
        <v>55.702165000000001</v>
      </c>
      <c r="Q16" s="113">
        <f t="shared" si="23"/>
        <v>17.123165</v>
      </c>
      <c r="R16" s="113">
        <f t="shared" si="23"/>
        <v>38.579000000000001</v>
      </c>
      <c r="S16" s="113">
        <f t="shared" si="23"/>
        <v>173.19499999999999</v>
      </c>
      <c r="T16" s="115">
        <f t="shared" si="23"/>
        <v>0</v>
      </c>
      <c r="U16" s="154">
        <f t="shared" si="15"/>
        <v>0</v>
      </c>
    </row>
    <row r="17" spans="1:21" hidden="1" x14ac:dyDescent="0.3">
      <c r="A17" s="61" t="s">
        <v>56</v>
      </c>
      <c r="B17" s="99">
        <f>B69</f>
        <v>260.98849799999999</v>
      </c>
      <c r="C17" s="99">
        <f>C69</f>
        <v>81.717315000000013</v>
      </c>
      <c r="D17" s="99">
        <f>D69</f>
        <v>103.64388700000001</v>
      </c>
      <c r="E17" s="99">
        <f>E69</f>
        <v>-21.926572</v>
      </c>
      <c r="F17" s="99"/>
      <c r="G17" s="110">
        <f t="shared" ref="G17:L17" si="24">G69</f>
        <v>244.98438200000001</v>
      </c>
      <c r="H17" s="99">
        <f t="shared" si="24"/>
        <v>-11.656617999999998</v>
      </c>
      <c r="I17" s="99">
        <f t="shared" si="24"/>
        <v>2.468</v>
      </c>
      <c r="J17" s="99">
        <f t="shared" si="24"/>
        <v>260.48500000000001</v>
      </c>
      <c r="K17" s="99">
        <f t="shared" si="24"/>
        <v>-6.3120000000000003</v>
      </c>
      <c r="L17" s="100">
        <f t="shared" si="24"/>
        <v>-65.713199000000031</v>
      </c>
      <c r="M17" s="33"/>
      <c r="N17" s="61" t="str">
        <f t="shared" si="13"/>
        <v>2006/07</v>
      </c>
      <c r="O17" s="122">
        <f t="shared" ref="O17:T17" si="25">O69</f>
        <v>260.98849799999999</v>
      </c>
      <c r="P17" s="102">
        <f t="shared" si="25"/>
        <v>73.759497999999994</v>
      </c>
      <c r="Q17" s="113">
        <f t="shared" si="25"/>
        <v>18.475497999999998</v>
      </c>
      <c r="R17" s="113">
        <f t="shared" si="25"/>
        <v>55.283999999999999</v>
      </c>
      <c r="S17" s="113">
        <f t="shared" si="25"/>
        <v>187.22900000000001</v>
      </c>
      <c r="T17" s="115">
        <f t="shared" si="25"/>
        <v>0</v>
      </c>
      <c r="U17" s="154">
        <f t="shared" si="15"/>
        <v>0</v>
      </c>
    </row>
    <row r="18" spans="1:21" hidden="1" x14ac:dyDescent="0.3">
      <c r="A18" s="61" t="s">
        <v>57</v>
      </c>
      <c r="B18" s="99">
        <f>B73</f>
        <v>282.77857499999999</v>
      </c>
      <c r="C18" s="99">
        <f>C73</f>
        <v>79.862382999999994</v>
      </c>
      <c r="D18" s="99">
        <f>D73</f>
        <v>99.897807999999998</v>
      </c>
      <c r="E18" s="99">
        <f>E73</f>
        <v>-20.035425</v>
      </c>
      <c r="F18" s="99"/>
      <c r="G18" s="110">
        <f t="shared" ref="G18:L18" si="26">G73</f>
        <v>282.22499599999998</v>
      </c>
      <c r="H18" s="99">
        <f t="shared" si="26"/>
        <v>-29.069003999999996</v>
      </c>
      <c r="I18" s="99">
        <f t="shared" si="26"/>
        <v>3.7450000000000001</v>
      </c>
      <c r="J18" s="99">
        <f t="shared" si="26"/>
        <v>311.779</v>
      </c>
      <c r="K18" s="99">
        <f t="shared" si="26"/>
        <v>-4.2300000000000004</v>
      </c>
      <c r="L18" s="100">
        <f t="shared" si="26"/>
        <v>-79.308803999999981</v>
      </c>
      <c r="M18" s="33"/>
      <c r="N18" s="61" t="str">
        <f t="shared" si="13"/>
        <v>2007/08</v>
      </c>
      <c r="O18" s="122">
        <f t="shared" ref="O18:T18" si="27">O73</f>
        <v>282.77857499999999</v>
      </c>
      <c r="P18" s="102">
        <f t="shared" si="27"/>
        <v>72.559574999999995</v>
      </c>
      <c r="Q18" s="113">
        <f t="shared" si="27"/>
        <v>18.773575000000001</v>
      </c>
      <c r="R18" s="113">
        <f t="shared" si="27"/>
        <v>53.786000000000001</v>
      </c>
      <c r="S18" s="113">
        <f t="shared" si="27"/>
        <v>210.21899999999999</v>
      </c>
      <c r="T18" s="115">
        <f t="shared" si="27"/>
        <v>0</v>
      </c>
      <c r="U18" s="154">
        <f t="shared" si="15"/>
        <v>0</v>
      </c>
    </row>
    <row r="19" spans="1:21" hidden="1" x14ac:dyDescent="0.3">
      <c r="A19" s="61" t="s">
        <v>58</v>
      </c>
      <c r="B19" s="99">
        <f>B77</f>
        <v>277.30039900000003</v>
      </c>
      <c r="C19" s="99">
        <f>C77</f>
        <v>121.27518099999998</v>
      </c>
      <c r="D19" s="99">
        <f>D77</f>
        <v>154.00532299999998</v>
      </c>
      <c r="E19" s="99">
        <f>E77</f>
        <v>-32.730142000000001</v>
      </c>
      <c r="F19" s="99"/>
      <c r="G19" s="110">
        <f t="shared" ref="G19:L19" si="28">G77</f>
        <v>262.17107700000003</v>
      </c>
      <c r="H19" s="99">
        <f t="shared" si="28"/>
        <v>-32.744923</v>
      </c>
      <c r="I19" s="99">
        <f t="shared" si="28"/>
        <v>3.855</v>
      </c>
      <c r="J19" s="99">
        <f t="shared" si="28"/>
        <v>302.77300000000002</v>
      </c>
      <c r="K19" s="99">
        <f t="shared" si="28"/>
        <v>-11.712</v>
      </c>
      <c r="L19" s="100">
        <f t="shared" si="28"/>
        <v>-106.14585899999997</v>
      </c>
      <c r="M19" s="33"/>
      <c r="N19" s="61" t="str">
        <f t="shared" si="13"/>
        <v>2008/09</v>
      </c>
      <c r="O19" s="122">
        <f t="shared" ref="O19:T19" si="29">O77</f>
        <v>277.30039900000003</v>
      </c>
      <c r="P19" s="102">
        <f t="shared" si="29"/>
        <v>77.908399000000003</v>
      </c>
      <c r="Q19" s="113">
        <f t="shared" si="29"/>
        <v>21.912399000000001</v>
      </c>
      <c r="R19" s="113">
        <f t="shared" si="29"/>
        <v>55.996000000000002</v>
      </c>
      <c r="S19" s="113">
        <f t="shared" si="29"/>
        <v>199.39200000000002</v>
      </c>
      <c r="T19" s="115">
        <f t="shared" si="29"/>
        <v>0</v>
      </c>
      <c r="U19" s="154">
        <f t="shared" si="15"/>
        <v>0</v>
      </c>
    </row>
    <row r="20" spans="1:21" x14ac:dyDescent="0.3">
      <c r="A20" s="61" t="s">
        <v>59</v>
      </c>
      <c r="B20" s="99">
        <f>B81</f>
        <v>291.46330899999998</v>
      </c>
      <c r="C20" s="99">
        <f>C81</f>
        <v>164.781879</v>
      </c>
      <c r="D20" s="99">
        <f>D81</f>
        <v>186.71318400000001</v>
      </c>
      <c r="E20" s="99">
        <f>E81</f>
        <v>-21.931305000000002</v>
      </c>
      <c r="F20" s="99"/>
      <c r="G20" s="110">
        <f t="shared" ref="G20:L20" si="30">G81</f>
        <v>235.03836200000001</v>
      </c>
      <c r="H20" s="99">
        <f t="shared" si="30"/>
        <v>-29.108637999999999</v>
      </c>
      <c r="I20" s="99">
        <f t="shared" si="30"/>
        <v>19.597000000000001</v>
      </c>
      <c r="J20" s="99">
        <f t="shared" si="30"/>
        <v>252.601</v>
      </c>
      <c r="K20" s="99">
        <f t="shared" si="30"/>
        <v>-8.0510000000000002</v>
      </c>
      <c r="L20" s="100">
        <f t="shared" si="30"/>
        <v>-108.35693200000003</v>
      </c>
      <c r="M20" s="33"/>
      <c r="N20" s="61" t="str">
        <f t="shared" si="13"/>
        <v>2009/10</v>
      </c>
      <c r="O20" s="122">
        <f t="shared" ref="O20:T20" si="31">O81</f>
        <v>291.46330899999998</v>
      </c>
      <c r="P20" s="102">
        <f t="shared" si="31"/>
        <v>90.090309000000005</v>
      </c>
      <c r="Q20" s="113">
        <f t="shared" si="31"/>
        <v>26.754309000000003</v>
      </c>
      <c r="R20" s="113">
        <f t="shared" si="31"/>
        <v>63.335999999999999</v>
      </c>
      <c r="S20" s="113">
        <f t="shared" si="31"/>
        <v>201.37299999999999</v>
      </c>
      <c r="T20" s="115">
        <f t="shared" si="31"/>
        <v>0</v>
      </c>
      <c r="U20" s="154">
        <f t="shared" si="15"/>
        <v>0</v>
      </c>
    </row>
    <row r="21" spans="1:21" x14ac:dyDescent="0.3">
      <c r="A21" s="61" t="s">
        <v>60</v>
      </c>
      <c r="B21" s="99">
        <f>B85</f>
        <v>299.23148900000001</v>
      </c>
      <c r="C21" s="99">
        <f>C85</f>
        <v>215.15198100000001</v>
      </c>
      <c r="D21" s="99">
        <f>D85</f>
        <v>221.61171400000001</v>
      </c>
      <c r="E21" s="99">
        <f>E85</f>
        <v>-6.4597329999999999</v>
      </c>
      <c r="F21" s="99"/>
      <c r="G21" s="110">
        <f t="shared" ref="G21:L21" si="32">G85</f>
        <v>197.49067488999998</v>
      </c>
      <c r="H21" s="99">
        <f t="shared" si="32"/>
        <v>-32.459682000000001</v>
      </c>
      <c r="I21" s="99">
        <f t="shared" si="32"/>
        <v>13.173999999999999</v>
      </c>
      <c r="J21" s="99">
        <f t="shared" si="32"/>
        <v>227.70435688999999</v>
      </c>
      <c r="K21" s="99">
        <f t="shared" si="32"/>
        <v>-10.928000000000001</v>
      </c>
      <c r="L21" s="100">
        <f t="shared" si="32"/>
        <v>-113.41116688999998</v>
      </c>
      <c r="M21" s="33"/>
      <c r="N21" s="61" t="str">
        <f t="shared" si="13"/>
        <v>2010/11</v>
      </c>
      <c r="O21" s="122">
        <f t="shared" ref="O21:T21" si="33">O85</f>
        <v>299.23148900000001</v>
      </c>
      <c r="P21" s="102">
        <f t="shared" si="33"/>
        <v>96.931488999999999</v>
      </c>
      <c r="Q21" s="113">
        <f t="shared" si="33"/>
        <v>27.267489000000001</v>
      </c>
      <c r="R21" s="113">
        <f t="shared" si="33"/>
        <v>69.664000000000001</v>
      </c>
      <c r="S21" s="113">
        <f t="shared" si="33"/>
        <v>202.29999999999998</v>
      </c>
      <c r="T21" s="115">
        <f t="shared" si="33"/>
        <v>0</v>
      </c>
      <c r="U21" s="154">
        <f t="shared" si="15"/>
        <v>0</v>
      </c>
    </row>
    <row r="22" spans="1:21" x14ac:dyDescent="0.3">
      <c r="A22" s="61" t="s">
        <v>61</v>
      </c>
      <c r="B22" s="99">
        <f>B89</f>
        <v>327.02711987999999</v>
      </c>
      <c r="C22" s="99">
        <f>C89</f>
        <v>240.23955927</v>
      </c>
      <c r="D22" s="99">
        <f>D89</f>
        <v>267.30190730999999</v>
      </c>
      <c r="E22" s="99">
        <f>E89</f>
        <v>-27.062348039999996</v>
      </c>
      <c r="F22" s="99"/>
      <c r="G22" s="110">
        <f t="shared" ref="G22:L22" si="34">G89</f>
        <v>209.09680775249998</v>
      </c>
      <c r="H22" s="99">
        <f t="shared" si="34"/>
        <v>-58.898642422500025</v>
      </c>
      <c r="I22" s="99">
        <f t="shared" si="34"/>
        <v>13.728</v>
      </c>
      <c r="J22" s="99">
        <f t="shared" si="34"/>
        <v>247.93745017500001</v>
      </c>
      <c r="K22" s="99">
        <f t="shared" si="34"/>
        <v>6.33</v>
      </c>
      <c r="L22" s="100">
        <f t="shared" si="34"/>
        <v>-122.30924714250013</v>
      </c>
      <c r="M22" s="33"/>
      <c r="N22" s="61" t="str">
        <f t="shared" si="13"/>
        <v>2011/12</v>
      </c>
      <c r="O22" s="122">
        <f t="shared" ref="O22:T22" si="35">O89</f>
        <v>327.02711987999999</v>
      </c>
      <c r="P22" s="102">
        <f t="shared" si="35"/>
        <v>129.04211988</v>
      </c>
      <c r="Q22" s="113">
        <f t="shared" si="35"/>
        <v>32.476119879999999</v>
      </c>
      <c r="R22" s="113">
        <f t="shared" si="35"/>
        <v>96.566000000000003</v>
      </c>
      <c r="S22" s="113">
        <f t="shared" si="35"/>
        <v>197.833</v>
      </c>
      <c r="T22" s="115">
        <f t="shared" si="35"/>
        <v>0.152</v>
      </c>
      <c r="U22" s="154">
        <f t="shared" si="15"/>
        <v>1.2789769243681803E-13</v>
      </c>
    </row>
    <row r="23" spans="1:21" x14ac:dyDescent="0.3">
      <c r="A23" s="61" t="s">
        <v>62</v>
      </c>
      <c r="B23" s="99">
        <f>B93</f>
        <v>343.88076894999995</v>
      </c>
      <c r="C23" s="99">
        <f>C93</f>
        <v>252.56828319000016</v>
      </c>
      <c r="D23" s="99">
        <f>D93</f>
        <v>277.64880176000014</v>
      </c>
      <c r="E23" s="99">
        <f>E93</f>
        <v>-25.080518569999992</v>
      </c>
      <c r="F23" s="99"/>
      <c r="G23" s="110">
        <f t="shared" ref="G23:L23" si="36">G93</f>
        <v>214.31442345249994</v>
      </c>
      <c r="H23" s="99">
        <f t="shared" si="36"/>
        <v>-44.368438792500044</v>
      </c>
      <c r="I23" s="99">
        <f t="shared" si="36"/>
        <v>16.774999999999999</v>
      </c>
      <c r="J23" s="99">
        <f t="shared" si="36"/>
        <v>229.31886224499999</v>
      </c>
      <c r="K23" s="99">
        <f t="shared" si="36"/>
        <v>12.589</v>
      </c>
      <c r="L23" s="100">
        <f t="shared" si="36"/>
        <v>-123.00193769250038</v>
      </c>
      <c r="M23" s="33"/>
      <c r="N23" s="61" t="str">
        <f t="shared" si="13"/>
        <v>2012/13</v>
      </c>
      <c r="O23" s="122">
        <f t="shared" ref="O23:T23" si="37">O93</f>
        <v>343.88076894999995</v>
      </c>
      <c r="P23" s="102">
        <f t="shared" si="37"/>
        <v>155.54476894999999</v>
      </c>
      <c r="Q23" s="113">
        <f t="shared" si="37"/>
        <v>32.061768950000001</v>
      </c>
      <c r="R23" s="113">
        <f t="shared" si="37"/>
        <v>123.483</v>
      </c>
      <c r="S23" s="113">
        <f t="shared" si="37"/>
        <v>188.23400000000001</v>
      </c>
      <c r="T23" s="115">
        <f t="shared" si="37"/>
        <v>0.10199999999999999</v>
      </c>
      <c r="U23" s="154">
        <f t="shared" si="15"/>
        <v>2.2737367544323206E-13</v>
      </c>
    </row>
    <row r="24" spans="1:21" x14ac:dyDescent="0.3">
      <c r="A24" s="61" t="s">
        <v>63</v>
      </c>
      <c r="B24" s="99">
        <f>B97</f>
        <v>368.86485676000001</v>
      </c>
      <c r="C24" s="99">
        <f>C97</f>
        <v>268.50782915999997</v>
      </c>
      <c r="D24" s="99">
        <f>D97</f>
        <v>299.73880144999998</v>
      </c>
      <c r="E24" s="99">
        <f>E97</f>
        <v>-31.23097228999999</v>
      </c>
      <c r="F24" s="99"/>
      <c r="G24" s="110">
        <f t="shared" ref="G24:L24" si="38">G97</f>
        <v>231.08499116749985</v>
      </c>
      <c r="H24" s="99">
        <f t="shared" si="38"/>
        <v>-54.448931187500136</v>
      </c>
      <c r="I24" s="99">
        <f t="shared" si="38"/>
        <v>41.673000000000002</v>
      </c>
      <c r="J24" s="99">
        <f t="shared" si="38"/>
        <v>230.87292235499999</v>
      </c>
      <c r="K24" s="99">
        <f t="shared" si="38"/>
        <v>12.988</v>
      </c>
      <c r="L24" s="100">
        <f t="shared" si="38"/>
        <v>-130.72796356750038</v>
      </c>
      <c r="M24" s="33"/>
      <c r="N24" s="61" t="str">
        <f t="shared" si="13"/>
        <v>2013/14</v>
      </c>
      <c r="O24" s="122">
        <f t="shared" ref="O24:T24" si="39">O97</f>
        <v>368.86485676000001</v>
      </c>
      <c r="P24" s="102">
        <f t="shared" si="39"/>
        <v>176.00485676</v>
      </c>
      <c r="Q24" s="113">
        <f t="shared" si="39"/>
        <v>38.916856760000002</v>
      </c>
      <c r="R24" s="113">
        <f t="shared" si="39"/>
        <v>137.08799999999999</v>
      </c>
      <c r="S24" s="113">
        <f t="shared" si="39"/>
        <v>192.84899999999999</v>
      </c>
      <c r="T24" s="115">
        <f t="shared" si="39"/>
        <v>1.0999999999999999E-2</v>
      </c>
      <c r="U24" s="154">
        <f t="shared" si="15"/>
        <v>5.6843418860808015E-13</v>
      </c>
    </row>
    <row r="25" spans="1:21" x14ac:dyDescent="0.3">
      <c r="A25" s="61" t="s">
        <v>66</v>
      </c>
      <c r="B25" s="99">
        <f>[1]Database!$H$207</f>
        <v>403.33598521000005</v>
      </c>
      <c r="C25" s="99">
        <f>[1]Database!$N$207</f>
        <v>283.20636147000005</v>
      </c>
      <c r="D25" s="99">
        <f>[1]Database!$O$207+[1]Database!$V$207</f>
        <v>316.65854572000001</v>
      </c>
      <c r="E25" s="99">
        <f>[1]Database!$W$207</f>
        <v>-33.452184249999988</v>
      </c>
      <c r="F25" s="99"/>
      <c r="G25" s="110">
        <f>[1]Database!$AA$207</f>
        <v>266.82285441999983</v>
      </c>
      <c r="H25" s="99">
        <f>[1]Database!$AC$207</f>
        <v>-49.978238160000188</v>
      </c>
      <c r="I25" s="99">
        <f>[1]Database!$AK$207</f>
        <v>47.517000000000003</v>
      </c>
      <c r="J25" s="99">
        <f>[1]Database!$AN$207</f>
        <v>250.70409258000001</v>
      </c>
      <c r="K25" s="99">
        <f>[1]Database!$AQ$207</f>
        <v>18.579999999999998</v>
      </c>
      <c r="L25" s="100">
        <f>[1]Database!$AU$207+[1]Database!$AV$207-[1]Database!$AW$207</f>
        <v>-146.69323068000134</v>
      </c>
      <c r="M25" s="33"/>
      <c r="N25" s="61" t="s">
        <v>66</v>
      </c>
      <c r="O25" s="122">
        <f>[1]Database!H$207</f>
        <v>403.33598521000005</v>
      </c>
      <c r="P25" s="102">
        <f>[1]Database!I$207</f>
        <v>193.69998520999999</v>
      </c>
      <c r="Q25" s="113">
        <f>[1]Database!J$207</f>
        <v>45.022985210000002</v>
      </c>
      <c r="R25" s="113">
        <f>[1]Database!K$207</f>
        <v>148.67699999999999</v>
      </c>
      <c r="S25" s="113">
        <f>[1]Database!L$207</f>
        <v>209.625</v>
      </c>
      <c r="T25" s="115">
        <f>[1]Database!M$207</f>
        <v>1.0999999999999999E-2</v>
      </c>
      <c r="U25" s="154">
        <f>O25-C25-G25-L25</f>
        <v>1.5063505998114124E-12</v>
      </c>
    </row>
    <row r="26" spans="1:21" x14ac:dyDescent="0.3">
      <c r="A26" s="61" t="s">
        <v>67</v>
      </c>
      <c r="B26" s="99">
        <f>[1]Database!$H$219</f>
        <v>470.54361179</v>
      </c>
      <c r="C26" s="99">
        <f>[1]Database!$N$219</f>
        <v>362.51812280000001</v>
      </c>
      <c r="D26" s="99">
        <f>[1]Database!$O$219+[1]Database!$V$219</f>
        <v>397.07299538000001</v>
      </c>
      <c r="E26" s="99">
        <f>[1]Database!$W$219</f>
        <v>-34.554872579999987</v>
      </c>
      <c r="F26" s="99"/>
      <c r="G26" s="110">
        <f>[1]Database!$AA$219</f>
        <v>288.84300398999977</v>
      </c>
      <c r="H26" s="99">
        <f>[1]Database!$AC$219</f>
        <v>-74.267640430000228</v>
      </c>
      <c r="I26" s="99">
        <f>[1]Database!$AK$219</f>
        <v>46.11</v>
      </c>
      <c r="J26" s="99">
        <f>[1]Database!$AN$219</f>
        <v>301.28164442000002</v>
      </c>
      <c r="K26" s="99">
        <f>[1]Database!$AQ$219</f>
        <v>15.718999999999999</v>
      </c>
      <c r="L26" s="100">
        <f>[1]Database!$AU$219+[1]Database!$AV$219-[1]Database!$AW$219</f>
        <v>-180.81751500000183</v>
      </c>
      <c r="M26" s="33"/>
      <c r="N26" s="61" t="s">
        <v>67</v>
      </c>
      <c r="O26" s="122">
        <f>[1]Database!H$219</f>
        <v>470.54361179</v>
      </c>
      <c r="P26" s="102">
        <f>[1]Database!I$219</f>
        <v>232.73461179</v>
      </c>
      <c r="Q26" s="113">
        <f>[1]Database!J$219</f>
        <v>48.478611790000009</v>
      </c>
      <c r="R26" s="113">
        <f>[1]Database!K$219</f>
        <v>184.256</v>
      </c>
      <c r="S26" s="113">
        <f>[1]Database!L$219</f>
        <v>237.809</v>
      </c>
      <c r="T26" s="115">
        <f>[1]Database!M$219</f>
        <v>0</v>
      </c>
      <c r="U26" s="154">
        <f t="shared" ref="U26:U29" si="40">O26-C26-G26-L26</f>
        <v>2.0463630789890885E-12</v>
      </c>
    </row>
    <row r="27" spans="1:21" x14ac:dyDescent="0.3">
      <c r="A27" s="61" t="s">
        <v>68</v>
      </c>
      <c r="B27" s="99">
        <f>[1]Database!$H$231</f>
        <v>534.85810493000008</v>
      </c>
      <c r="C27" s="99">
        <f>[1]Database!$N$231</f>
        <v>428.1240123300002</v>
      </c>
      <c r="D27" s="99">
        <f>[1]Database!$O$231+[1]Database!$V$231</f>
        <v>464.38879654000016</v>
      </c>
      <c r="E27" s="99">
        <f>[1]Database!$W$231</f>
        <v>-36.264784209999981</v>
      </c>
      <c r="F27" s="99"/>
      <c r="G27" s="110">
        <f>[1]Database!$AA$231</f>
        <v>301.8970831124999</v>
      </c>
      <c r="H27" s="99">
        <f>[1]Database!$AC$231</f>
        <v>-114.73282917250012</v>
      </c>
      <c r="I27" s="99">
        <f>[1]Database!$AK$231</f>
        <v>43.372999999999998</v>
      </c>
      <c r="J27" s="99">
        <f>[1]Database!$AN$231</f>
        <v>371.85691228500002</v>
      </c>
      <c r="K27" s="99">
        <f>[1]Database!$AQ$231</f>
        <v>1.4</v>
      </c>
      <c r="L27" s="100">
        <f>[1]Database!$AU$231+[1]Database!$AV$231-[1]Database!$AW$231</f>
        <v>-195.16299051250144</v>
      </c>
      <c r="M27" s="33"/>
      <c r="N27" s="61" t="s">
        <v>68</v>
      </c>
      <c r="O27" s="122">
        <f>[1]Database!H$231</f>
        <v>534.85810493000008</v>
      </c>
      <c r="P27" s="102">
        <f>[1]Database!I$231</f>
        <v>263.64910493000002</v>
      </c>
      <c r="Q27" s="113">
        <f>[1]Database!J$231</f>
        <v>60.816104930000002</v>
      </c>
      <c r="R27" s="113">
        <f>[1]Database!K$231</f>
        <v>202.833</v>
      </c>
      <c r="S27" s="113">
        <f>[1]Database!L$231</f>
        <v>271.209</v>
      </c>
      <c r="T27" s="115">
        <f>[1]Database!M$231</f>
        <v>0</v>
      </c>
      <c r="U27" s="154">
        <f t="shared" si="40"/>
        <v>1.4210854715202004E-12</v>
      </c>
    </row>
    <row r="28" spans="1:21" x14ac:dyDescent="0.3">
      <c r="A28" s="61" t="s">
        <v>94</v>
      </c>
      <c r="B28" s="99">
        <f>[1]Database!$H$243</f>
        <v>575.36111471000004</v>
      </c>
      <c r="C28" s="99">
        <f>[1]Database!$N$243</f>
        <v>485.27294835000032</v>
      </c>
      <c r="D28" s="99">
        <f>[1]Database!$O$243+[1]Database!$V$243</f>
        <v>521.42109895000033</v>
      </c>
      <c r="E28" s="99">
        <f>[1]Database!$W$243</f>
        <v>-36.148150599999987</v>
      </c>
      <c r="F28" s="99"/>
      <c r="G28" s="110">
        <f>[1]Database!$AA$243</f>
        <v>282.89056048749984</v>
      </c>
      <c r="H28" s="99">
        <f>[1]Database!$AC$243</f>
        <v>-169.11003472750014</v>
      </c>
      <c r="I28" s="99">
        <f>[1]Database!$AK$243</f>
        <v>52.091999999999999</v>
      </c>
      <c r="J28" s="99">
        <f>[1]Database!$AN$243</f>
        <v>397.49359521499997</v>
      </c>
      <c r="K28" s="99">
        <f>[1]Database!$AQ$243</f>
        <v>2.415</v>
      </c>
      <c r="L28" s="100">
        <f>[1]Database!$AU$243+[1]Database!$AV$243-[1]Database!$AW$243</f>
        <v>-192.80239412750163</v>
      </c>
      <c r="M28" s="33"/>
      <c r="N28" s="61" t="s">
        <v>94</v>
      </c>
      <c r="O28" s="122">
        <f>[1]Database!H$243</f>
        <v>575.36111471000004</v>
      </c>
      <c r="P28" s="102">
        <f>[1]Database!I$243</f>
        <v>252.31311470999998</v>
      </c>
      <c r="Q28" s="113">
        <f>[1]Database!J$243</f>
        <v>70.123114709999996</v>
      </c>
      <c r="R28" s="113">
        <f>[1]Database!K$243</f>
        <v>182.19</v>
      </c>
      <c r="S28" s="113">
        <f>[1]Database!L$243</f>
        <v>323.048</v>
      </c>
      <c r="T28" s="115">
        <f>[1]Database!M$243</f>
        <v>0</v>
      </c>
      <c r="U28" s="154">
        <f t="shared" si="40"/>
        <v>1.5063505998114124E-12</v>
      </c>
    </row>
    <row r="29" spans="1:21" x14ac:dyDescent="0.3">
      <c r="A29" s="61" t="s">
        <v>95</v>
      </c>
      <c r="B29" s="99">
        <f>[1]Database!$H$255</f>
        <v>600.09352372000012</v>
      </c>
      <c r="C29" s="99">
        <f>[1]Database!$N$255</f>
        <v>506.33770723000026</v>
      </c>
      <c r="D29" s="99">
        <f>[1]Database!$O$255+[1]Database!$V$255</f>
        <v>545.31784154000025</v>
      </c>
      <c r="E29" s="99">
        <f>[1]Database!$W$255</f>
        <v>-38.98013430999999</v>
      </c>
      <c r="F29" s="99"/>
      <c r="G29" s="110">
        <f>[1]Database!$AA$255</f>
        <v>299.54171657499995</v>
      </c>
      <c r="H29" s="99">
        <f>[1]Database!$AC$255</f>
        <v>-190.87925971500007</v>
      </c>
      <c r="I29" s="99">
        <f>[1]Database!$AK$255</f>
        <v>59.904000000000003</v>
      </c>
      <c r="J29" s="99">
        <f>[1]Database!$AN$255</f>
        <v>427.59097629000001</v>
      </c>
      <c r="K29" s="99">
        <f>[1]Database!$AQ$255</f>
        <v>2.9260000000000002</v>
      </c>
      <c r="L29" s="100">
        <f>[1]Database!$AU$255+[1]Database!$AV$255-[1]Database!$AW$255</f>
        <v>-205.78590008500203</v>
      </c>
      <c r="M29" s="33"/>
      <c r="N29" s="61" t="s">
        <v>95</v>
      </c>
      <c r="O29" s="122">
        <f>[1]Database!H$255</f>
        <v>600.09352372000012</v>
      </c>
      <c r="P29" s="102">
        <f>[1]Database!I$255</f>
        <v>281.88052372000004</v>
      </c>
      <c r="Q29" s="113">
        <f>[1]Database!J$255</f>
        <v>70.253523720000004</v>
      </c>
      <c r="R29" s="113">
        <f>[1]Database!K$255</f>
        <v>211.62700000000001</v>
      </c>
      <c r="S29" s="113">
        <f>[1]Database!L$255</f>
        <v>318.21300000000002</v>
      </c>
      <c r="T29" s="115">
        <f>[1]Database!M$255</f>
        <v>0</v>
      </c>
      <c r="U29" s="154">
        <f t="shared" si="40"/>
        <v>1.9326762412674725E-12</v>
      </c>
    </row>
    <row r="30" spans="1:21" x14ac:dyDescent="0.3">
      <c r="A30" s="61" t="s">
        <v>96</v>
      </c>
      <c r="B30" s="99">
        <f>[1]Database!$H$267</f>
        <v>607.06326046000004</v>
      </c>
      <c r="C30" s="99">
        <f>[1]Database!$N$267</f>
        <v>570.62967516000037</v>
      </c>
      <c r="D30" s="99">
        <f>[1]Database!$O$267+[1]Database!$V$267</f>
        <v>601.91997557000036</v>
      </c>
      <c r="E30" s="99">
        <f>[1]Database!$W$267</f>
        <v>-31.290300409999986</v>
      </c>
      <c r="F30" s="99"/>
      <c r="G30" s="110">
        <f>[1]Database!$AA$267</f>
        <v>251.89579316500004</v>
      </c>
      <c r="H30" s="99">
        <f>[1]Database!$AC$267</f>
        <v>-244.84482490499994</v>
      </c>
      <c r="I30" s="99">
        <f>[1]Database!$AK$267</f>
        <v>61.646999999999998</v>
      </c>
      <c r="J30" s="99">
        <f>[1]Database!$AN$267</f>
        <v>432.74261806999999</v>
      </c>
      <c r="K30" s="99">
        <f>[1]Database!$AQ$267</f>
        <v>2.351</v>
      </c>
      <c r="L30" s="100">
        <f>[1]Database!$AU$267+[1]Database!$AV$267-[1]Database!$AW$267</f>
        <v>-215.46220786500169</v>
      </c>
      <c r="M30" s="33"/>
      <c r="N30" s="61" t="s">
        <v>96</v>
      </c>
      <c r="O30" s="122">
        <f>[1]Database!H$267</f>
        <v>607.06326046000004</v>
      </c>
      <c r="P30" s="102">
        <f>[1]Database!I$267</f>
        <v>273.21326046000001</v>
      </c>
      <c r="Q30" s="113">
        <f>[1]Database!J$267</f>
        <v>71.374260460000002</v>
      </c>
      <c r="R30" s="113">
        <f>[1]Database!K$267</f>
        <v>201.839</v>
      </c>
      <c r="S30" s="113">
        <f>[1]Database!L$267</f>
        <v>333.85</v>
      </c>
      <c r="T30" s="115">
        <f>[1]Database!M$267</f>
        <v>0</v>
      </c>
      <c r="U30" s="154">
        <f t="shared" ref="U30:U31" si="41">O30-C30-G30-L30</f>
        <v>1.3073986337985843E-12</v>
      </c>
    </row>
    <row r="31" spans="1:21" x14ac:dyDescent="0.3">
      <c r="A31" s="61" t="s">
        <v>97</v>
      </c>
      <c r="B31" s="99">
        <f>[1]Database!$H$279</f>
        <v>765.76077975999999</v>
      </c>
      <c r="C31" s="99">
        <f>[1]Database!$N$279</f>
        <v>747.73349659000007</v>
      </c>
      <c r="D31" s="99">
        <f>[1]Database!$O$279+[1]Database!$V$279</f>
        <v>779.10759244000008</v>
      </c>
      <c r="E31" s="99">
        <f>[1]Database!$W$279</f>
        <v>-31.374095849999982</v>
      </c>
      <c r="F31" s="99"/>
      <c r="G31" s="110">
        <f>[1]Database!$AA$279</f>
        <v>223.14359405500011</v>
      </c>
      <c r="H31" s="99">
        <f>[1]Database!$AC$279</f>
        <v>-257.90950590499989</v>
      </c>
      <c r="I31" s="99">
        <f>[1]Database!$AK$279</f>
        <v>50.323999999999998</v>
      </c>
      <c r="J31" s="99">
        <f>[1]Database!$AN$279</f>
        <v>428.80409995999997</v>
      </c>
      <c r="K31" s="99">
        <f>[1]Database!$AQ$279</f>
        <v>1.925</v>
      </c>
      <c r="L31" s="100">
        <f>[1]Database!$AU$279+[1]Database!$AV$279-[1]Database!$AW$279</f>
        <v>-205.11631088500167</v>
      </c>
      <c r="M31" s="33"/>
      <c r="N31" s="61" t="s">
        <v>97</v>
      </c>
      <c r="O31" s="122">
        <f>[1]Database!H$279</f>
        <v>765.76077975999999</v>
      </c>
      <c r="P31" s="102">
        <f>[1]Database!I$279</f>
        <v>375.12077976</v>
      </c>
      <c r="Q31" s="113">
        <f>[1]Database!J$279</f>
        <v>95.418779760000007</v>
      </c>
      <c r="R31" s="113">
        <f>[1]Database!K$279</f>
        <v>279.702</v>
      </c>
      <c r="S31" s="113">
        <f>[1]Database!L$279</f>
        <v>390.64</v>
      </c>
      <c r="T31" s="115">
        <f>[1]Database!M$279</f>
        <v>0</v>
      </c>
      <c r="U31" s="154">
        <f t="shared" si="41"/>
        <v>1.4779288903810084E-12</v>
      </c>
    </row>
    <row r="32" spans="1:21" x14ac:dyDescent="0.3">
      <c r="A32" s="61" t="s">
        <v>100</v>
      </c>
      <c r="B32" s="99">
        <f>B129</f>
        <v>846.68426681999995</v>
      </c>
      <c r="C32" s="99">
        <f t="shared" ref="C32:L32" si="42">C129</f>
        <v>849.90945367000006</v>
      </c>
      <c r="D32" s="99">
        <f t="shared" si="42"/>
        <v>923.03219047000005</v>
      </c>
      <c r="E32" s="99">
        <f t="shared" si="42"/>
        <v>-73.122736799999984</v>
      </c>
      <c r="F32" s="99"/>
      <c r="G32" s="110">
        <f t="shared" si="42"/>
        <v>223.42700594750013</v>
      </c>
      <c r="H32" s="99">
        <f t="shared" si="42"/>
        <v>-257.12703477749983</v>
      </c>
      <c r="I32" s="99">
        <f t="shared" si="42"/>
        <v>45.959000000000003</v>
      </c>
      <c r="J32" s="99">
        <f t="shared" si="42"/>
        <v>432.46904072499996</v>
      </c>
      <c r="K32" s="99">
        <f t="shared" si="42"/>
        <v>2.1259999999999999</v>
      </c>
      <c r="L32" s="100">
        <f t="shared" si="42"/>
        <v>-226.65219279750002</v>
      </c>
      <c r="M32" s="33"/>
      <c r="N32" s="61" t="str">
        <f>A32</f>
        <v>2021/22</v>
      </c>
      <c r="O32" s="122">
        <f>O129</f>
        <v>846.68426681999995</v>
      </c>
      <c r="P32" s="102">
        <f t="shared" ref="P32:T32" si="43">P129</f>
        <v>428.20826681999995</v>
      </c>
      <c r="Q32" s="113">
        <f t="shared" si="43"/>
        <v>108.58226681999999</v>
      </c>
      <c r="R32" s="113">
        <f t="shared" si="43"/>
        <v>319.62599999999998</v>
      </c>
      <c r="S32" s="113">
        <f t="shared" si="43"/>
        <v>418.476</v>
      </c>
      <c r="T32" s="115">
        <f t="shared" si="43"/>
        <v>0</v>
      </c>
      <c r="U32" s="154">
        <f t="shared" ref="U32" si="44">O32-C32-G32-L32</f>
        <v>-2.2737367544323206E-13</v>
      </c>
    </row>
    <row r="33" spans="1:21" x14ac:dyDescent="0.3">
      <c r="A33" s="61" t="s">
        <v>188</v>
      </c>
      <c r="B33" s="99">
        <f>B133</f>
        <v>841.84791960999996</v>
      </c>
      <c r="C33" s="99">
        <f>C133</f>
        <v>887.13018075000036</v>
      </c>
      <c r="D33" s="99">
        <f>D133</f>
        <v>988.73426768000036</v>
      </c>
      <c r="E33" s="99">
        <f>E133</f>
        <v>-101.60408692999998</v>
      </c>
      <c r="F33" s="99"/>
      <c r="G33" s="110">
        <f t="shared" ref="G33:L33" si="45">G133</f>
        <v>188.24338043250006</v>
      </c>
      <c r="H33" s="99">
        <f t="shared" si="45"/>
        <v>-325.35869758249993</v>
      </c>
      <c r="I33" s="99">
        <f t="shared" si="45"/>
        <v>35.927999999999997</v>
      </c>
      <c r="J33" s="99">
        <f t="shared" si="45"/>
        <v>470.949078015</v>
      </c>
      <c r="K33" s="99">
        <f t="shared" si="45"/>
        <v>6.7249999999999996</v>
      </c>
      <c r="L33" s="100">
        <f t="shared" si="45"/>
        <v>-233.52564157249921</v>
      </c>
      <c r="M33" s="33"/>
      <c r="N33" s="61" t="str">
        <f>A33</f>
        <v>2022/23</v>
      </c>
      <c r="O33" s="122">
        <f t="shared" ref="O33:T33" si="46">O133</f>
        <v>841.84791960999996</v>
      </c>
      <c r="P33" s="102">
        <f t="shared" si="46"/>
        <v>431.09591961000001</v>
      </c>
      <c r="Q33" s="113">
        <f t="shared" si="46"/>
        <v>92.755919610000007</v>
      </c>
      <c r="R33" s="113">
        <f t="shared" si="46"/>
        <v>338.34</v>
      </c>
      <c r="S33" s="113">
        <f t="shared" si="46"/>
        <v>410.75200000000001</v>
      </c>
      <c r="T33" s="115">
        <f t="shared" si="46"/>
        <v>0</v>
      </c>
      <c r="U33" s="154">
        <f t="shared" ref="U33" si="47">O33-C33-G33-L33</f>
        <v>-1.2505552149377763E-12</v>
      </c>
    </row>
    <row r="34" spans="1:21" x14ac:dyDescent="0.3">
      <c r="A34" s="61" t="s">
        <v>193</v>
      </c>
      <c r="B34" s="99">
        <f>B137</f>
        <v>906.05136768</v>
      </c>
      <c r="C34" s="99">
        <f>C137</f>
        <v>935.04395810000017</v>
      </c>
      <c r="D34" s="99">
        <f>D137</f>
        <v>1005.5622297400001</v>
      </c>
      <c r="E34" s="99">
        <f>E137</f>
        <v>-70.518271639999995</v>
      </c>
      <c r="F34" s="99"/>
      <c r="G34" s="110">
        <f t="shared" ref="G34:L34" si="48">G137</f>
        <v>215.08570868000004</v>
      </c>
      <c r="H34" s="99">
        <f t="shared" si="48"/>
        <v>-325.30786890999997</v>
      </c>
      <c r="I34" s="99">
        <f t="shared" si="48"/>
        <v>26.943000000000001</v>
      </c>
      <c r="J34" s="99">
        <f t="shared" si="48"/>
        <v>505.53757759000001</v>
      </c>
      <c r="K34" s="99">
        <f t="shared" si="48"/>
        <v>7.9130000000000003</v>
      </c>
      <c r="L34" s="100">
        <f t="shared" si="48"/>
        <v>-244.07829909999998</v>
      </c>
      <c r="M34" s="33"/>
      <c r="N34" s="61" t="str">
        <f>A34</f>
        <v>2023/24</v>
      </c>
      <c r="O34" s="122">
        <f t="shared" ref="O34:T34" si="49">O137</f>
        <v>906.05136768</v>
      </c>
      <c r="P34" s="102">
        <f t="shared" si="49"/>
        <v>499.10236767999999</v>
      </c>
      <c r="Q34" s="113">
        <f t="shared" si="49"/>
        <v>98.934367679999994</v>
      </c>
      <c r="R34" s="113">
        <f t="shared" si="49"/>
        <v>400.16800000000001</v>
      </c>
      <c r="S34" s="113">
        <f t="shared" si="49"/>
        <v>406.94900000000001</v>
      </c>
      <c r="T34" s="115">
        <f t="shared" si="49"/>
        <v>0</v>
      </c>
      <c r="U34" s="154">
        <f t="shared" ref="U34" si="50">O34-C34-G34-L34</f>
        <v>-2.2737367544323206E-13</v>
      </c>
    </row>
    <row r="35" spans="1:21" x14ac:dyDescent="0.3">
      <c r="A35" s="62"/>
      <c r="B35" s="24"/>
      <c r="C35" s="99"/>
      <c r="D35" s="99"/>
      <c r="E35" s="101"/>
      <c r="F35" s="101"/>
      <c r="G35" s="108"/>
      <c r="H35" s="101"/>
      <c r="I35" s="101"/>
      <c r="J35" s="102"/>
      <c r="K35" s="103"/>
      <c r="L35" s="104"/>
      <c r="M35" s="45"/>
      <c r="N35" s="62"/>
      <c r="O35" s="122"/>
      <c r="P35" s="102"/>
      <c r="Q35" s="113"/>
      <c r="R35" s="113"/>
      <c r="S35" s="114"/>
      <c r="T35" s="104"/>
      <c r="U35" s="154"/>
    </row>
    <row r="36" spans="1:21" hidden="1" x14ac:dyDescent="0.3">
      <c r="A36" s="63" t="s">
        <v>233</v>
      </c>
      <c r="B36" s="99">
        <f>[1]Database!$H$12</f>
        <v>86.794691</v>
      </c>
      <c r="C36" s="99">
        <f>[1]Database!$N$12</f>
        <v>35.788107000000004</v>
      </c>
      <c r="D36" s="99">
        <f>[1]Database!$O$12+[1]Database!$V$12</f>
        <v>41.302632000000003</v>
      </c>
      <c r="E36" s="99">
        <f>[1]Database!$W$12</f>
        <v>-5.5145249999999999</v>
      </c>
      <c r="F36" s="99"/>
      <c r="G36" s="99">
        <f>[1]Database!$AA$12</f>
        <v>77.490634999999997</v>
      </c>
      <c r="H36" s="99">
        <f>[1]Database!$AC$12</f>
        <v>2.6026350000000011</v>
      </c>
      <c r="I36" s="99">
        <f>[1]Database!$AK$12</f>
        <v>1.579</v>
      </c>
      <c r="J36" s="99">
        <f>[1]Database!$AN$12</f>
        <v>77.581000000000003</v>
      </c>
      <c r="K36" s="99">
        <f>[1]Database!$AQ$12</f>
        <v>-4.2720000000000002</v>
      </c>
      <c r="L36" s="100">
        <f>[1]Database!$AU$12+[1]Database!$AV$12-[1]Database!$AW$12</f>
        <v>-26.484051000000001</v>
      </c>
      <c r="M36" s="45"/>
      <c r="N36" s="63" t="str">
        <f t="shared" ref="N36:N48" si="51">A36</f>
        <v>1999Q1</v>
      </c>
      <c r="O36" s="122">
        <f>[1]Database!H$12</f>
        <v>86.794691</v>
      </c>
      <c r="P36" s="102">
        <f>[1]Database!I$12</f>
        <v>21.942691</v>
      </c>
      <c r="Q36" s="113">
        <f>[1]Database!J$12</f>
        <v>6.8296909999999995</v>
      </c>
      <c r="R36" s="113">
        <f>[1]Database!K$12</f>
        <v>15.113</v>
      </c>
      <c r="S36" s="113">
        <f>[1]Database!L$12</f>
        <v>64.852000000000004</v>
      </c>
      <c r="T36" s="115">
        <f>[1]Database!M$12</f>
        <v>0</v>
      </c>
      <c r="U36" s="154">
        <f t="shared" ref="U36" si="52">O36-C36-G36-L36</f>
        <v>0</v>
      </c>
    </row>
    <row r="37" spans="1:21" hidden="1" x14ac:dyDescent="0.3">
      <c r="A37" s="63" t="s">
        <v>234</v>
      </c>
      <c r="B37" s="99">
        <f>[1]Database!$H$15</f>
        <v>89.70684700000001</v>
      </c>
      <c r="C37" s="99">
        <f>[1]Database!$N$15</f>
        <v>34.428746000000004</v>
      </c>
      <c r="D37" s="99">
        <f>[1]Database!$O$15+[1]Database!$V$15</f>
        <v>39.713329000000002</v>
      </c>
      <c r="E37" s="99">
        <f>[1]Database!$W$15</f>
        <v>-5.2845829999999996</v>
      </c>
      <c r="F37" s="99"/>
      <c r="G37" s="99">
        <f>[1]Database!$AA$15</f>
        <v>79.472786999999997</v>
      </c>
      <c r="H37" s="99">
        <f>[1]Database!$AC$15</f>
        <v>1.3837869999999999</v>
      </c>
      <c r="I37" s="99">
        <f>[1]Database!$AK$15</f>
        <v>1.472</v>
      </c>
      <c r="J37" s="99">
        <f>[1]Database!$AN$15</f>
        <v>80.834999999999994</v>
      </c>
      <c r="K37" s="99">
        <f>[1]Database!$AQ$15</f>
        <v>-4.218</v>
      </c>
      <c r="L37" s="100">
        <f>[1]Database!$AU$15+[1]Database!$AV$15-[1]Database!$AW$15</f>
        <v>-24.19468599999999</v>
      </c>
      <c r="M37" s="45"/>
      <c r="N37" s="63" t="str">
        <f t="shared" si="51"/>
        <v>1999Q2</v>
      </c>
      <c r="O37" s="122">
        <f>[1]Database!H$15</f>
        <v>89.70684700000001</v>
      </c>
      <c r="P37" s="102">
        <f>[1]Database!I$15</f>
        <v>24.664847000000002</v>
      </c>
      <c r="Q37" s="113">
        <f>[1]Database!J$15</f>
        <v>7.3178469999999995</v>
      </c>
      <c r="R37" s="113">
        <f>[1]Database!K$15</f>
        <v>17.347000000000001</v>
      </c>
      <c r="S37" s="113">
        <f>[1]Database!L$15</f>
        <v>65.042000000000002</v>
      </c>
      <c r="T37" s="115">
        <f>[1]Database!M$15</f>
        <v>0</v>
      </c>
      <c r="U37" s="154">
        <f t="shared" ref="U37" si="53">O37-C37-G37-L37</f>
        <v>0</v>
      </c>
    </row>
    <row r="38" spans="1:21" hidden="1" x14ac:dyDescent="0.3">
      <c r="A38" s="63" t="s">
        <v>235</v>
      </c>
      <c r="B38" s="99">
        <f>[1]Database!$H$18</f>
        <v>98.191618000000005</v>
      </c>
      <c r="C38" s="99">
        <f>[1]Database!$N$18</f>
        <v>32.410797000000002</v>
      </c>
      <c r="D38" s="99">
        <f>[1]Database!$O$18+[1]Database!$V$18</f>
        <v>40.718499999999999</v>
      </c>
      <c r="E38" s="99">
        <f>[1]Database!$W$18</f>
        <v>-8.3077030000000001</v>
      </c>
      <c r="F38" s="99"/>
      <c r="G38" s="99">
        <f>[1]Database!$AA$18</f>
        <v>89.814962999999992</v>
      </c>
      <c r="H38" s="99">
        <f>[1]Database!$AC$18</f>
        <v>5.4719630000000024</v>
      </c>
      <c r="I38" s="99">
        <f>[1]Database!$AK$18</f>
        <v>1.4370000000000001</v>
      </c>
      <c r="J38" s="99">
        <f>[1]Database!$AN$18</f>
        <v>84.8</v>
      </c>
      <c r="K38" s="99">
        <f>[1]Database!$AQ$18</f>
        <v>-1.8939999999999999</v>
      </c>
      <c r="L38" s="100">
        <f>[1]Database!$AU$18+[1]Database!$AV$18-[1]Database!$AW$18</f>
        <v>-24.034141999999989</v>
      </c>
      <c r="M38" s="45"/>
      <c r="N38" s="63" t="str">
        <f t="shared" si="51"/>
        <v>1999Q3</v>
      </c>
      <c r="O38" s="122">
        <f>[1]Database!H$18</f>
        <v>98.191618000000005</v>
      </c>
      <c r="P38" s="102">
        <f>[1]Database!I$18</f>
        <v>26.713618</v>
      </c>
      <c r="Q38" s="113">
        <f>[1]Database!J$18</f>
        <v>7.494618</v>
      </c>
      <c r="R38" s="113">
        <f>[1]Database!K$18</f>
        <v>19.219000000000001</v>
      </c>
      <c r="S38" s="113">
        <f>[1]Database!L$18</f>
        <v>71.478000000000009</v>
      </c>
      <c r="T38" s="115">
        <f>[1]Database!M$18</f>
        <v>0</v>
      </c>
      <c r="U38" s="154">
        <f t="shared" ref="U38" si="54">O38-C38-G38-L38</f>
        <v>0</v>
      </c>
    </row>
    <row r="39" spans="1:21" hidden="1" x14ac:dyDescent="0.3">
      <c r="A39" s="63" t="s">
        <v>236</v>
      </c>
      <c r="B39" s="99">
        <f>[1]Database!$H$21</f>
        <v>101.475618</v>
      </c>
      <c r="C39" s="99">
        <f>[1]Database!$N$21</f>
        <v>32.084150999999999</v>
      </c>
      <c r="D39" s="99">
        <f>[1]Database!$O$21+[1]Database!$V$21</f>
        <v>39.386327999999999</v>
      </c>
      <c r="E39" s="99">
        <f>[1]Database!$W$21</f>
        <v>-7.3021769999999995</v>
      </c>
      <c r="F39" s="99"/>
      <c r="G39" s="99">
        <f>[1]Database!$AA$21</f>
        <v>87.744747000000004</v>
      </c>
      <c r="H39" s="99">
        <f>[1]Database!$AC$21</f>
        <v>0.93574699999999922</v>
      </c>
      <c r="I39" s="99">
        <f>[1]Database!$AK$21</f>
        <v>1.3919999999999999</v>
      </c>
      <c r="J39" s="99">
        <f>[1]Database!$AN$21</f>
        <v>87.42</v>
      </c>
      <c r="K39" s="99">
        <f>[1]Database!$AQ$21</f>
        <v>-2.0030000000000001</v>
      </c>
      <c r="L39" s="100">
        <f>[1]Database!$AU$21+[1]Database!$AV$21-[1]Database!$AW$21</f>
        <v>-18.353279999999998</v>
      </c>
      <c r="M39" s="45"/>
      <c r="N39" s="63" t="str">
        <f t="shared" si="51"/>
        <v>1999Q4</v>
      </c>
      <c r="O39" s="122">
        <f>[1]Database!H$21</f>
        <v>101.475618</v>
      </c>
      <c r="P39" s="102">
        <f>[1]Database!I$21</f>
        <v>29.914618000000001</v>
      </c>
      <c r="Q39" s="113">
        <f>[1]Database!J$21</f>
        <v>9.4426179999999995</v>
      </c>
      <c r="R39" s="113">
        <f>[1]Database!K$21</f>
        <v>20.472000000000001</v>
      </c>
      <c r="S39" s="113">
        <f>[1]Database!L$21</f>
        <v>71.560999999999993</v>
      </c>
      <c r="T39" s="115">
        <f>[1]Database!M$21</f>
        <v>0</v>
      </c>
      <c r="U39" s="154">
        <f t="shared" ref="U39" si="55">O39-C39-G39-L39</f>
        <v>0</v>
      </c>
    </row>
    <row r="40" spans="1:21" hidden="1" x14ac:dyDescent="0.3">
      <c r="A40" s="63" t="s">
        <v>237</v>
      </c>
      <c r="B40" s="99">
        <f>[1]Database!$H$24</f>
        <v>94.803020000000018</v>
      </c>
      <c r="C40" s="99">
        <f>[1]Database!$N$24</f>
        <v>26.013956</v>
      </c>
      <c r="D40" s="99">
        <f>[1]Database!$O$24+[1]Database!$V$24</f>
        <v>35.692965000000001</v>
      </c>
      <c r="E40" s="99">
        <f>[1]Database!$W$24</f>
        <v>-9.6790090000000006</v>
      </c>
      <c r="F40" s="99"/>
      <c r="G40" s="99">
        <f>[1]Database!$AA$24</f>
        <v>89.573311000000004</v>
      </c>
      <c r="H40" s="99">
        <f>[1]Database!$AC$24</f>
        <v>0.95731100000000069</v>
      </c>
      <c r="I40" s="99">
        <f>[1]Database!$AK$24</f>
        <v>1.702</v>
      </c>
      <c r="J40" s="99">
        <f>[1]Database!$AN$24</f>
        <v>88.811000000000007</v>
      </c>
      <c r="K40" s="99">
        <f>[1]Database!$AQ$24</f>
        <v>-1.897</v>
      </c>
      <c r="L40" s="100">
        <f>[1]Database!$AU$24+[1]Database!$AV$24-[1]Database!$AW$24</f>
        <v>-20.784246999999979</v>
      </c>
      <c r="M40" s="45"/>
      <c r="N40" s="63" t="str">
        <f t="shared" si="51"/>
        <v>2000Q1</v>
      </c>
      <c r="O40" s="122">
        <f>[1]Database!H$24</f>
        <v>94.803020000000018</v>
      </c>
      <c r="P40" s="102">
        <f>[1]Database!I$24</f>
        <v>26.615020000000001</v>
      </c>
      <c r="Q40" s="113">
        <f>[1]Database!J$24</f>
        <v>8.1430199999999999</v>
      </c>
      <c r="R40" s="113">
        <f>[1]Database!K$24</f>
        <v>18.472000000000001</v>
      </c>
      <c r="S40" s="113">
        <f>[1]Database!L$24</f>
        <v>68.188000000000017</v>
      </c>
      <c r="T40" s="115">
        <f>[1]Database!M$24</f>
        <v>0</v>
      </c>
      <c r="U40" s="154">
        <f t="shared" ref="U40" si="56">O40-C40-G40-L40</f>
        <v>0</v>
      </c>
    </row>
    <row r="41" spans="1:21" hidden="1" x14ac:dyDescent="0.3">
      <c r="A41" s="63" t="s">
        <v>238</v>
      </c>
      <c r="B41" s="99">
        <f>[1]Database!$H$27</f>
        <v>97.189998000000003</v>
      </c>
      <c r="C41" s="99">
        <f>[1]Database!$N$27</f>
        <v>26.853230999999997</v>
      </c>
      <c r="D41" s="99">
        <f>[1]Database!$O$27+[1]Database!$V$27</f>
        <v>31.961378999999997</v>
      </c>
      <c r="E41" s="99">
        <f>[1]Database!$W$27</f>
        <v>-5.1081479999999999</v>
      </c>
      <c r="F41" s="99"/>
      <c r="G41" s="99">
        <f>[1]Database!$AA$27</f>
        <v>89.182791999999992</v>
      </c>
      <c r="H41" s="99">
        <f>[1]Database!$AC$27</f>
        <v>0.78279200000000237</v>
      </c>
      <c r="I41" s="99">
        <f>[1]Database!$AK$27</f>
        <v>2.2770000000000001</v>
      </c>
      <c r="J41" s="99">
        <f>[1]Database!$AN$27</f>
        <v>86.468999999999994</v>
      </c>
      <c r="K41" s="99">
        <f>[1]Database!$AQ$27</f>
        <v>-0.34599999999999997</v>
      </c>
      <c r="L41" s="100">
        <f>[1]Database!$AU$27+[1]Database!$AV$27-[1]Database!$AW$27</f>
        <v>-18.846024999999983</v>
      </c>
      <c r="M41" s="45"/>
      <c r="N41" s="63" t="str">
        <f t="shared" si="51"/>
        <v>2000Q2</v>
      </c>
      <c r="O41" s="122">
        <f>[1]Database!H$27</f>
        <v>97.189998000000003</v>
      </c>
      <c r="P41" s="102">
        <f>[1]Database!I$27</f>
        <v>27.819997999999998</v>
      </c>
      <c r="Q41" s="113">
        <f>[1]Database!J$27</f>
        <v>8.0399979999999989</v>
      </c>
      <c r="R41" s="113">
        <f>[1]Database!K$27</f>
        <v>19.78</v>
      </c>
      <c r="S41" s="113">
        <f>[1]Database!L$27</f>
        <v>69.37</v>
      </c>
      <c r="T41" s="115">
        <f>[1]Database!M$27</f>
        <v>0</v>
      </c>
      <c r="U41" s="154">
        <f t="shared" ref="U41" si="57">O41-C41-G41-L41</f>
        <v>0</v>
      </c>
    </row>
    <row r="42" spans="1:21" hidden="1" x14ac:dyDescent="0.3">
      <c r="A42" s="63" t="s">
        <v>239</v>
      </c>
      <c r="B42" s="99">
        <f>[1]Database!$H$30</f>
        <v>115.6074</v>
      </c>
      <c r="C42" s="99">
        <f>[1]Database!$N$30</f>
        <v>26.411395999999996</v>
      </c>
      <c r="D42" s="99">
        <f>[1]Database!$O$30+[1]Database!$V$30</f>
        <v>39.792395999999997</v>
      </c>
      <c r="E42" s="99">
        <f>[1]Database!$W$30</f>
        <v>-13.381</v>
      </c>
      <c r="F42" s="99"/>
      <c r="G42" s="99">
        <f>[1]Database!$AA$30</f>
        <v>110.827838</v>
      </c>
      <c r="H42" s="99">
        <f>[1]Database!$AC$30</f>
        <v>5.0528380000000013</v>
      </c>
      <c r="I42" s="99">
        <f>[1]Database!$AK$30</f>
        <v>2.649</v>
      </c>
      <c r="J42" s="99">
        <f>[1]Database!$AN$30</f>
        <v>100.867</v>
      </c>
      <c r="K42" s="99">
        <f>[1]Database!$AQ$30</f>
        <v>2.2589999999999999</v>
      </c>
      <c r="L42" s="100">
        <f>[1]Database!$AU$30+[1]Database!$AV$30-[1]Database!$AW$30</f>
        <v>-21.631833999999998</v>
      </c>
      <c r="M42" s="45"/>
      <c r="N42" s="63" t="str">
        <f t="shared" si="51"/>
        <v>2000Q3</v>
      </c>
      <c r="O42" s="122">
        <f>[1]Database!H$30</f>
        <v>115.6074</v>
      </c>
      <c r="P42" s="102">
        <f>[1]Database!I$30</f>
        <v>31.542400000000001</v>
      </c>
      <c r="Q42" s="113">
        <f>[1]Database!J$30</f>
        <v>8.7233999999999998</v>
      </c>
      <c r="R42" s="113">
        <f>[1]Database!K$30</f>
        <v>22.818999999999999</v>
      </c>
      <c r="S42" s="113">
        <f>[1]Database!L$30</f>
        <v>84.064999999999998</v>
      </c>
      <c r="T42" s="115">
        <f>[1]Database!M$30</f>
        <v>0</v>
      </c>
      <c r="U42" s="154">
        <f t="shared" ref="U42" si="58">O42-C42-G42-L42</f>
        <v>0</v>
      </c>
    </row>
    <row r="43" spans="1:21" hidden="1" x14ac:dyDescent="0.3">
      <c r="A43" s="63" t="s">
        <v>240</v>
      </c>
      <c r="B43" s="99">
        <f>[1]Database!$H$33</f>
        <v>120.920918</v>
      </c>
      <c r="C43" s="99">
        <f>[1]Database!$N$33</f>
        <v>34.511192000000008</v>
      </c>
      <c r="D43" s="99">
        <f>[1]Database!$O$33+[1]Database!$V$33</f>
        <v>48.707192000000006</v>
      </c>
      <c r="E43" s="99">
        <f>[1]Database!$W$33</f>
        <v>-14.196</v>
      </c>
      <c r="F43" s="99"/>
      <c r="G43" s="99">
        <f>[1]Database!$AA$33</f>
        <v>108.849204</v>
      </c>
      <c r="H43" s="99">
        <f>[1]Database!$AC$33</f>
        <v>2.611203999999999</v>
      </c>
      <c r="I43" s="99">
        <f>[1]Database!$AK$33</f>
        <v>3.0680000000000001</v>
      </c>
      <c r="J43" s="99">
        <f>[1]Database!$AN$33</f>
        <v>102.774</v>
      </c>
      <c r="K43" s="99">
        <f>[1]Database!$AQ$33</f>
        <v>0.39600000000000002</v>
      </c>
      <c r="L43" s="100">
        <f>[1]Database!$AU$33+[1]Database!$AV$33-[1]Database!$AW$33</f>
        <v>-22.439478000000008</v>
      </c>
      <c r="M43" s="45"/>
      <c r="N43" s="63" t="str">
        <f t="shared" si="51"/>
        <v>2000Q4</v>
      </c>
      <c r="O43" s="122">
        <f>[1]Database!H$33</f>
        <v>120.920918</v>
      </c>
      <c r="P43" s="102">
        <f>[1]Database!I$33</f>
        <v>33.071918000000004</v>
      </c>
      <c r="Q43" s="113">
        <f>[1]Database!J$33</f>
        <v>9.9659180000000003</v>
      </c>
      <c r="R43" s="113">
        <f>[1]Database!K$33</f>
        <v>23.106000000000002</v>
      </c>
      <c r="S43" s="113">
        <f>[1]Database!L$33</f>
        <v>87.849000000000004</v>
      </c>
      <c r="T43" s="115">
        <f>[1]Database!M$33</f>
        <v>0</v>
      </c>
      <c r="U43" s="154">
        <f t="shared" ref="U43" si="59">O43-C43-G43-L43</f>
        <v>0</v>
      </c>
    </row>
    <row r="44" spans="1:21" hidden="1" x14ac:dyDescent="0.3">
      <c r="A44" s="63" t="s">
        <v>241</v>
      </c>
      <c r="B44" s="99">
        <f>[1]Database!$H$36</f>
        <v>116.561914</v>
      </c>
      <c r="C44" s="99">
        <f>[1]Database!$N$36</f>
        <v>28.694179000000005</v>
      </c>
      <c r="D44" s="99">
        <f>[1]Database!$O$36+[1]Database!$V$36</f>
        <v>42.920179000000005</v>
      </c>
      <c r="E44" s="99">
        <f>[1]Database!$W$36</f>
        <v>-14.226000000000001</v>
      </c>
      <c r="F44" s="99"/>
      <c r="G44" s="99">
        <f>[1]Database!$AA$36</f>
        <v>110.88216643677767</v>
      </c>
      <c r="H44" s="99">
        <f>[1]Database!$AC$36</f>
        <v>3.4241664367776607</v>
      </c>
      <c r="I44" s="99">
        <f>[1]Database!$AK$36</f>
        <v>3.056</v>
      </c>
      <c r="J44" s="99">
        <f>[1]Database!$AN$36</f>
        <v>103.943</v>
      </c>
      <c r="K44" s="99">
        <f>[1]Database!$AQ$36</f>
        <v>0.45900000000000002</v>
      </c>
      <c r="L44" s="100">
        <f>[1]Database!$AU$36+[1]Database!$AV$36-[1]Database!$AW$36</f>
        <v>-23.01443143677767</v>
      </c>
      <c r="M44" s="45"/>
      <c r="N44" s="63" t="str">
        <f t="shared" si="51"/>
        <v>2001Q1</v>
      </c>
      <c r="O44" s="122">
        <f>[1]Database!H$36</f>
        <v>116.561914</v>
      </c>
      <c r="P44" s="102">
        <f>[1]Database!I$36</f>
        <v>29.877914000000001</v>
      </c>
      <c r="Q44" s="113">
        <f>[1]Database!J$36</f>
        <v>8.9019140000000014</v>
      </c>
      <c r="R44" s="113">
        <f>[1]Database!K$36</f>
        <v>20.975999999999999</v>
      </c>
      <c r="S44" s="113">
        <f>[1]Database!L$36</f>
        <v>86.683999999999997</v>
      </c>
      <c r="T44" s="115">
        <f>[1]Database!M$36</f>
        <v>0</v>
      </c>
      <c r="U44" s="154">
        <f t="shared" ref="U44" si="60">O44-C44-G44-L44</f>
        <v>0</v>
      </c>
    </row>
    <row r="45" spans="1:21" hidden="1" x14ac:dyDescent="0.3">
      <c r="A45" s="63" t="s">
        <v>242</v>
      </c>
      <c r="B45" s="99">
        <f>[1]Database!$H$39</f>
        <v>123.044398</v>
      </c>
      <c r="C45" s="99">
        <f>[1]Database!$N$39</f>
        <v>32.765209000000006</v>
      </c>
      <c r="D45" s="99">
        <f>[1]Database!$O$39+[1]Database!$V$39</f>
        <v>46.537209000000004</v>
      </c>
      <c r="E45" s="99">
        <f>[1]Database!$W$39</f>
        <v>-13.772</v>
      </c>
      <c r="F45" s="99"/>
      <c r="G45" s="99">
        <f>[1]Database!$AA$39</f>
        <v>119.0904140496755</v>
      </c>
      <c r="H45" s="99">
        <f>[1]Database!$AC$39</f>
        <v>4.2644140496754979</v>
      </c>
      <c r="I45" s="99">
        <f>[1]Database!$AK$39</f>
        <v>5.4180000000000001</v>
      </c>
      <c r="J45" s="99">
        <f>[1]Database!$AN$39</f>
        <v>107.886</v>
      </c>
      <c r="K45" s="99">
        <f>[1]Database!$AQ$39</f>
        <v>1.522</v>
      </c>
      <c r="L45" s="100">
        <f>[1]Database!$AU$39+[1]Database!$AV$39-[1]Database!$AW$39</f>
        <v>-28.8112250496755</v>
      </c>
      <c r="M45" s="45"/>
      <c r="N45" s="63" t="str">
        <f t="shared" si="51"/>
        <v>2001Q2</v>
      </c>
      <c r="O45" s="122">
        <f>[1]Database!H$39</f>
        <v>123.044398</v>
      </c>
      <c r="P45" s="102">
        <f>[1]Database!I$39</f>
        <v>32.998398000000002</v>
      </c>
      <c r="Q45" s="113">
        <f>[1]Database!J$39</f>
        <v>10.352397999999999</v>
      </c>
      <c r="R45" s="113">
        <f>[1]Database!K$39</f>
        <v>22.646000000000001</v>
      </c>
      <c r="S45" s="113">
        <f>[1]Database!L$39</f>
        <v>90.046000000000006</v>
      </c>
      <c r="T45" s="115">
        <f>[1]Database!M$39</f>
        <v>0</v>
      </c>
      <c r="U45" s="154">
        <f t="shared" ref="U45" si="61">O45-C45-G45-L45</f>
        <v>0</v>
      </c>
    </row>
    <row r="46" spans="1:21" hidden="1" x14ac:dyDescent="0.3">
      <c r="A46" s="63" t="s">
        <v>243</v>
      </c>
      <c r="B46" s="99">
        <f>[1]Database!$H$42</f>
        <v>134.02589399999999</v>
      </c>
      <c r="C46" s="99">
        <f>[1]Database!$N$42</f>
        <v>33.132459000000004</v>
      </c>
      <c r="D46" s="99">
        <f>[1]Database!$O$42+[1]Database!$V$42</f>
        <v>46.697459000000002</v>
      </c>
      <c r="E46" s="99">
        <f>[1]Database!$W$42</f>
        <v>-13.565</v>
      </c>
      <c r="F46" s="99"/>
      <c r="G46" s="99">
        <f>[1]Database!$AA$42</f>
        <v>132.75472305793414</v>
      </c>
      <c r="H46" s="99">
        <f>[1]Database!$AC$42</f>
        <v>13.162723057934141</v>
      </c>
      <c r="I46" s="99">
        <f>[1]Database!$AK$42</f>
        <v>5.6269999999999998</v>
      </c>
      <c r="J46" s="99">
        <f>[1]Database!$AN$42</f>
        <v>112.568</v>
      </c>
      <c r="K46" s="99">
        <f>[1]Database!$AQ$42</f>
        <v>1.397</v>
      </c>
      <c r="L46" s="100">
        <f>[1]Database!$AU$42+[1]Database!$AV$42-[1]Database!$AW$42</f>
        <v>-31.861288057934161</v>
      </c>
      <c r="M46" s="45"/>
      <c r="N46" s="63" t="str">
        <f t="shared" si="51"/>
        <v>2001Q3</v>
      </c>
      <c r="O46" s="122">
        <f>[1]Database!H$42</f>
        <v>134.02589399999999</v>
      </c>
      <c r="P46" s="102">
        <f>[1]Database!I$42</f>
        <v>34.274894000000003</v>
      </c>
      <c r="Q46" s="113">
        <f>[1]Database!J$42</f>
        <v>10.560894000000001</v>
      </c>
      <c r="R46" s="113">
        <f>[1]Database!K$42</f>
        <v>23.713999999999999</v>
      </c>
      <c r="S46" s="113">
        <f>[1]Database!L$42</f>
        <v>99.751000000000005</v>
      </c>
      <c r="T46" s="115">
        <f>[1]Database!M$42</f>
        <v>0</v>
      </c>
      <c r="U46" s="154">
        <f t="shared" ref="U46" si="62">O46-C46-G46-L46</f>
        <v>0</v>
      </c>
    </row>
    <row r="47" spans="1:21" hidden="1" x14ac:dyDescent="0.3">
      <c r="A47" s="63" t="s">
        <v>244</v>
      </c>
      <c r="B47" s="99">
        <f>[1]Database!$H$45</f>
        <v>139.74312599999999</v>
      </c>
      <c r="C47" s="99">
        <f>[1]Database!$N$45</f>
        <v>40.906387549999998</v>
      </c>
      <c r="D47" s="99">
        <f>[1]Database!$O$45+[1]Database!$V$45</f>
        <v>52.433104999999998</v>
      </c>
      <c r="E47" s="99">
        <f>[1]Database!$W$45</f>
        <v>-11.52671745</v>
      </c>
      <c r="F47" s="99"/>
      <c r="G47" s="99">
        <f>[1]Database!$AA$45</f>
        <v>131.7788042175207</v>
      </c>
      <c r="H47" s="99">
        <f>[1]Database!$AC$45</f>
        <v>12.21080421752068</v>
      </c>
      <c r="I47" s="99">
        <f>[1]Database!$AK$45</f>
        <v>6.1109999999999998</v>
      </c>
      <c r="J47" s="99">
        <f>[1]Database!$AN$45</f>
        <v>112.83499999999999</v>
      </c>
      <c r="K47" s="99">
        <f>[1]Database!$AQ$45</f>
        <v>0.622</v>
      </c>
      <c r="L47" s="100">
        <f>[1]Database!$AU$45+[1]Database!$AV$45-[1]Database!$AW$45</f>
        <v>-32.942065767520717</v>
      </c>
      <c r="M47" s="45"/>
      <c r="N47" s="63" t="str">
        <f t="shared" si="51"/>
        <v>2001Q4</v>
      </c>
      <c r="O47" s="122">
        <f>[1]Database!H$45</f>
        <v>139.74312599999999</v>
      </c>
      <c r="P47" s="102">
        <f>[1]Database!I$45</f>
        <v>41.744126000000001</v>
      </c>
      <c r="Q47" s="113">
        <f>[1]Database!J$45</f>
        <v>11.355126</v>
      </c>
      <c r="R47" s="113">
        <f>[1]Database!K$45</f>
        <v>30.388999999999999</v>
      </c>
      <c r="S47" s="113">
        <f>[1]Database!L$45</f>
        <v>97.998999999999995</v>
      </c>
      <c r="T47" s="115">
        <f>[1]Database!M$45</f>
        <v>0</v>
      </c>
      <c r="U47" s="154">
        <f t="shared" ref="U47" si="63">O47-C47-G47-L47</f>
        <v>0</v>
      </c>
    </row>
    <row r="48" spans="1:21" hidden="1" x14ac:dyDescent="0.3">
      <c r="A48" s="63" t="s">
        <v>140</v>
      </c>
      <c r="B48" s="99">
        <f>[1]Database!$H$48</f>
        <v>132.17613399999999</v>
      </c>
      <c r="C48" s="99">
        <f>[1]Database!$N$48</f>
        <v>29.816924999999998</v>
      </c>
      <c r="D48" s="99">
        <f>[1]Database!$O$48+[1]Database!$V$48</f>
        <v>38.806925</v>
      </c>
      <c r="E48" s="99">
        <f>[1]Database!$W$48</f>
        <v>-8.99</v>
      </c>
      <c r="F48" s="99"/>
      <c r="G48" s="99">
        <f>[1]Database!$AA$48</f>
        <v>132.05827187568016</v>
      </c>
      <c r="H48" s="99">
        <f>[1]Database!$AC$48</f>
        <v>9.3682718756801506</v>
      </c>
      <c r="I48" s="99">
        <f>[1]Database!$AK$48</f>
        <v>9.266</v>
      </c>
      <c r="J48" s="99">
        <f>[1]Database!$AN$48</f>
        <v>113.86799999999999</v>
      </c>
      <c r="K48" s="99">
        <f>[1]Database!$AQ$48</f>
        <v>-0.44400000000000001</v>
      </c>
      <c r="L48" s="100">
        <f>[1]Database!$AU$48+[1]Database!$AV$48-[1]Database!$AW$48</f>
        <v>-29.69906287568017</v>
      </c>
      <c r="M48" s="45"/>
      <c r="N48" s="63" t="str">
        <f t="shared" si="51"/>
        <v>2002Q1</v>
      </c>
      <c r="O48" s="122">
        <f>[1]Database!H$48</f>
        <v>132.17613399999999</v>
      </c>
      <c r="P48" s="102">
        <f>[1]Database!I$48</f>
        <v>38.856133999999997</v>
      </c>
      <c r="Q48" s="113">
        <f>[1]Database!J$48</f>
        <v>10.839134</v>
      </c>
      <c r="R48" s="113">
        <f>[1]Database!K$48</f>
        <v>28.016999999999999</v>
      </c>
      <c r="S48" s="113">
        <f>[1]Database!L$48</f>
        <v>93.32</v>
      </c>
      <c r="T48" s="115">
        <f>[1]Database!M$48</f>
        <v>0</v>
      </c>
      <c r="U48" s="154">
        <f t="shared" ref="U48" si="64">O48-C48-G48-L48</f>
        <v>0</v>
      </c>
    </row>
    <row r="49" spans="1:21" hidden="1" x14ac:dyDescent="0.3">
      <c r="A49" s="63" t="s">
        <v>141</v>
      </c>
      <c r="B49" s="99">
        <f>[1]Database!$H$51</f>
        <v>132.67171500000001</v>
      </c>
      <c r="C49" s="99">
        <f>[1]Database!$N$51</f>
        <v>33.524782000000002</v>
      </c>
      <c r="D49" s="99">
        <f>[1]Database!$O$51+[1]Database!$V$51</f>
        <v>44.583499000000003</v>
      </c>
      <c r="E49" s="99">
        <f>[1]Database!$W$51</f>
        <v>-11.058717</v>
      </c>
      <c r="F49" s="99"/>
      <c r="G49" s="99">
        <f>[1]Database!$AA$51</f>
        <v>130.20322025947002</v>
      </c>
      <c r="H49" s="99">
        <f>[1]Database!$AC$51</f>
        <v>-5.6377797405299965</v>
      </c>
      <c r="I49" s="99">
        <f>[1]Database!$AK$51</f>
        <v>9.4529999999999994</v>
      </c>
      <c r="J49" s="99">
        <f>[1]Database!$AN$51</f>
        <v>125.196</v>
      </c>
      <c r="K49" s="99">
        <f>[1]Database!$AQ$51</f>
        <v>1.1919999999999999</v>
      </c>
      <c r="L49" s="100">
        <f>[1]Database!$AU$51+[1]Database!$AV$51-[1]Database!$AW$51</f>
        <v>-31.056287259470011</v>
      </c>
      <c r="M49" s="45"/>
      <c r="N49" s="63" t="str">
        <f t="shared" ref="N49:N51" si="65">A49</f>
        <v>2002Q2</v>
      </c>
      <c r="O49" s="122">
        <f>[1]Database!H$51</f>
        <v>132.67171500000001</v>
      </c>
      <c r="P49" s="102">
        <f>[1]Database!I$51</f>
        <v>42.364714999999997</v>
      </c>
      <c r="Q49" s="113">
        <f>[1]Database!J$51</f>
        <v>11.923715</v>
      </c>
      <c r="R49" s="113">
        <f>[1]Database!K$51</f>
        <v>30.440999999999999</v>
      </c>
      <c r="S49" s="113">
        <f>[1]Database!L$51</f>
        <v>90.307000000000016</v>
      </c>
      <c r="T49" s="115">
        <f>[1]Database!M$51</f>
        <v>0</v>
      </c>
      <c r="U49" s="154">
        <f t="shared" ref="U49" si="66">O49-C49-G49-L49</f>
        <v>0</v>
      </c>
    </row>
    <row r="50" spans="1:21" hidden="1" x14ac:dyDescent="0.3">
      <c r="A50" s="63" t="s">
        <v>142</v>
      </c>
      <c r="B50" s="99">
        <f>[1]Database!$H$54</f>
        <v>136.03094299999998</v>
      </c>
      <c r="C50" s="99">
        <f>[1]Database!$N$54</f>
        <v>26.605691549999996</v>
      </c>
      <c r="D50" s="99">
        <f>[1]Database!$O$54+[1]Database!$V$54</f>
        <v>40.460408999999999</v>
      </c>
      <c r="E50" s="99">
        <f>[1]Database!$W$54</f>
        <v>-13.854717450000001</v>
      </c>
      <c r="F50" s="99"/>
      <c r="G50" s="99">
        <f>[1]Database!$AA$54</f>
        <v>143.67969178802392</v>
      </c>
      <c r="H50" s="99">
        <f>[1]Database!$AC$54</f>
        <v>3.5691788023903825E-2</v>
      </c>
      <c r="I50" s="99">
        <f>[1]Database!$AK$54</f>
        <v>9.2729999999999997</v>
      </c>
      <c r="J50" s="99">
        <f>[1]Database!$AN$54</f>
        <v>133.70400000000001</v>
      </c>
      <c r="K50" s="99">
        <f>[1]Database!$AQ$54</f>
        <v>0.66700000000000004</v>
      </c>
      <c r="L50" s="100">
        <f>[1]Database!$AU$54+[1]Database!$AV$54-[1]Database!$AW$54</f>
        <v>-34.254440338023926</v>
      </c>
      <c r="M50" s="45"/>
      <c r="N50" s="63" t="str">
        <f t="shared" si="65"/>
        <v>2002Q3</v>
      </c>
      <c r="O50" s="122">
        <f>[1]Database!H$54</f>
        <v>136.03094299999998</v>
      </c>
      <c r="P50" s="102">
        <f>[1]Database!I$54</f>
        <v>40.796942999999999</v>
      </c>
      <c r="Q50" s="113">
        <f>[1]Database!J$54</f>
        <v>10.366942999999999</v>
      </c>
      <c r="R50" s="113">
        <f>[1]Database!K$54</f>
        <v>30.43</v>
      </c>
      <c r="S50" s="113">
        <f>[1]Database!L$54</f>
        <v>95.233999999999995</v>
      </c>
      <c r="T50" s="115">
        <f>[1]Database!M$54</f>
        <v>0</v>
      </c>
      <c r="U50" s="154">
        <f t="shared" ref="U50" si="67">O50-C50-G50-L50</f>
        <v>0</v>
      </c>
    </row>
    <row r="51" spans="1:21" hidden="1" x14ac:dyDescent="0.3">
      <c r="A51" s="63" t="s">
        <v>143</v>
      </c>
      <c r="B51" s="99">
        <f>[1]Database!$H$57</f>
        <v>151.19667800000002</v>
      </c>
      <c r="C51" s="99">
        <f>[1]Database!$N$57</f>
        <v>42.712005000000005</v>
      </c>
      <c r="D51" s="99">
        <f>[1]Database!$O$57+[1]Database!$V$57</f>
        <v>55.965005000000005</v>
      </c>
      <c r="E51" s="99">
        <f>[1]Database!$W$57</f>
        <v>-13.253</v>
      </c>
      <c r="F51" s="99"/>
      <c r="G51" s="99">
        <f>[1]Database!$AA$57</f>
        <v>146.07128241040019</v>
      </c>
      <c r="H51" s="99">
        <f>[1]Database!$AC$57</f>
        <v>2.5852824104002039</v>
      </c>
      <c r="I51" s="99">
        <f>[1]Database!$AK$57</f>
        <v>8.5709999999999997</v>
      </c>
      <c r="J51" s="99">
        <f>[1]Database!$AN$57</f>
        <v>137.506</v>
      </c>
      <c r="K51" s="99">
        <f>[1]Database!$AQ$57</f>
        <v>-2.5910000000000002</v>
      </c>
      <c r="L51" s="100">
        <f>[1]Database!$AU$57+[1]Database!$AV$57-[1]Database!$AW$57</f>
        <v>-37.586609410400172</v>
      </c>
      <c r="M51" s="45"/>
      <c r="N51" s="63" t="str">
        <f t="shared" si="65"/>
        <v>2002Q4</v>
      </c>
      <c r="O51" s="122">
        <f>[1]Database!H$57</f>
        <v>151.19667800000002</v>
      </c>
      <c r="P51" s="102">
        <f>[1]Database!I$57</f>
        <v>55.102678000000004</v>
      </c>
      <c r="Q51" s="113">
        <f>[1]Database!J$57</f>
        <v>12.167678</v>
      </c>
      <c r="R51" s="113">
        <f>[1]Database!K$57</f>
        <v>42.935000000000002</v>
      </c>
      <c r="S51" s="113">
        <f>[1]Database!L$57</f>
        <v>96.094000000000008</v>
      </c>
      <c r="T51" s="115">
        <f>[1]Database!M$57</f>
        <v>0</v>
      </c>
      <c r="U51" s="154">
        <f t="shared" ref="U51" si="68">O51-C51-G51-L51</f>
        <v>0</v>
      </c>
    </row>
    <row r="52" spans="1:21" hidden="1" x14ac:dyDescent="0.3">
      <c r="A52" s="63" t="s">
        <v>144</v>
      </c>
      <c r="B52" s="99">
        <f>[1]Database!$H$60</f>
        <v>134.17465900000002</v>
      </c>
      <c r="C52" s="99">
        <f>[1]Database!$N$60</f>
        <v>28.736509000000002</v>
      </c>
      <c r="D52" s="99">
        <f>[1]Database!$O$60+[1]Database!$V$60</f>
        <v>45.552509000000001</v>
      </c>
      <c r="E52" s="99">
        <f>[1]Database!$W$60</f>
        <v>-16.815999999999999</v>
      </c>
      <c r="F52" s="99"/>
      <c r="G52" s="99">
        <f>[1]Database!$AA$60</f>
        <v>137.9084637807166</v>
      </c>
      <c r="H52" s="99">
        <f>[1]Database!$AC$60</f>
        <v>-7.8135362192833924</v>
      </c>
      <c r="I52" s="99">
        <f>[1]Database!$AK$60</f>
        <v>13.115</v>
      </c>
      <c r="J52" s="99">
        <f>[1]Database!$AN$60</f>
        <v>134.821</v>
      </c>
      <c r="K52" s="99">
        <f>[1]Database!$AQ$60</f>
        <v>-2.214</v>
      </c>
      <c r="L52" s="100">
        <f>[1]Database!$AU$60+[1]Database!$AV$60-[1]Database!$AW$60</f>
        <v>-32.47031378071658</v>
      </c>
      <c r="M52" s="45"/>
      <c r="N52" s="63" t="str">
        <f t="shared" ref="N52:N55" si="69">A52</f>
        <v>2003Q1</v>
      </c>
      <c r="O52" s="122">
        <f>[1]Database!H$60</f>
        <v>134.17465900000002</v>
      </c>
      <c r="P52" s="102">
        <f>[1]Database!I$60</f>
        <v>41.756658999999999</v>
      </c>
      <c r="Q52" s="113">
        <f>[1]Database!J$60</f>
        <v>11.497659000000001</v>
      </c>
      <c r="R52" s="113">
        <f>[1]Database!K$60</f>
        <v>30.259</v>
      </c>
      <c r="S52" s="113">
        <f>[1]Database!L$60</f>
        <v>92.418000000000006</v>
      </c>
      <c r="T52" s="115">
        <f>[1]Database!M$60</f>
        <v>0</v>
      </c>
      <c r="U52" s="154">
        <f t="shared" ref="U52:U55" si="70">O52-C52-G52-L52</f>
        <v>0</v>
      </c>
    </row>
    <row r="53" spans="1:21" hidden="1" x14ac:dyDescent="0.3">
      <c r="A53" s="63" t="s">
        <v>145</v>
      </c>
      <c r="B53" s="99">
        <f>[1]Database!$H$63</f>
        <v>150.49400200000002</v>
      </c>
      <c r="C53" s="99">
        <f>[1]Database!$N$63</f>
        <v>31.306988000000004</v>
      </c>
      <c r="D53" s="99">
        <f>[1]Database!$O$63+[1]Database!$V$63</f>
        <v>49.172988000000004</v>
      </c>
      <c r="E53" s="99">
        <f>[1]Database!$W$63</f>
        <v>-17.866</v>
      </c>
      <c r="F53" s="99"/>
      <c r="G53" s="99">
        <f>[1]Database!$AA$63</f>
        <v>151.33118014317338</v>
      </c>
      <c r="H53" s="99">
        <f>[1]Database!$AC$63</f>
        <v>1.6151801431733972</v>
      </c>
      <c r="I53" s="99">
        <f>[1]Database!$AK$63</f>
        <v>12.217000000000001</v>
      </c>
      <c r="J53" s="99">
        <f>[1]Database!$AN$63</f>
        <v>138.626</v>
      </c>
      <c r="K53" s="99">
        <f>[1]Database!$AQ$63</f>
        <v>-1.127</v>
      </c>
      <c r="L53" s="100">
        <f>[1]Database!$AU$63+[1]Database!$AV$63-[1]Database!$AW$63</f>
        <v>-32.144166143173365</v>
      </c>
      <c r="M53" s="45"/>
      <c r="N53" s="63" t="str">
        <f t="shared" si="69"/>
        <v>2003Q2</v>
      </c>
      <c r="O53" s="122">
        <f>[1]Database!H$63</f>
        <v>150.49400200000002</v>
      </c>
      <c r="P53" s="102">
        <f>[1]Database!I$63</f>
        <v>51.629002</v>
      </c>
      <c r="Q53" s="113">
        <f>[1]Database!J$63</f>
        <v>12.879002</v>
      </c>
      <c r="R53" s="113">
        <f>[1]Database!K$63</f>
        <v>38.75</v>
      </c>
      <c r="S53" s="113">
        <f>[1]Database!L$63</f>
        <v>98.865000000000009</v>
      </c>
      <c r="T53" s="115">
        <f>[1]Database!M$63</f>
        <v>0</v>
      </c>
      <c r="U53" s="154">
        <f t="shared" si="70"/>
        <v>0</v>
      </c>
    </row>
    <row r="54" spans="1:21" hidden="1" x14ac:dyDescent="0.3">
      <c r="A54" s="63" t="s">
        <v>146</v>
      </c>
      <c r="B54" s="99">
        <f>[1]Database!$H$66</f>
        <v>154.24928</v>
      </c>
      <c r="C54" s="99">
        <f>[1]Database!$N$66</f>
        <v>31.587184000000004</v>
      </c>
      <c r="D54" s="99">
        <f>[1]Database!$O$66+[1]Database!$V$66</f>
        <v>51.046184000000004</v>
      </c>
      <c r="E54" s="99">
        <f>[1]Database!$W$66</f>
        <v>-19.459</v>
      </c>
      <c r="F54" s="99"/>
      <c r="G54" s="99">
        <f>[1]Database!$AA$66</f>
        <v>157.5539385935912</v>
      </c>
      <c r="H54" s="99">
        <f>[1]Database!$AC$66</f>
        <v>2.2889385935911974</v>
      </c>
      <c r="I54" s="99">
        <f>[1]Database!$AK$66</f>
        <v>11.757999999999999</v>
      </c>
      <c r="J54" s="99">
        <f>[1]Database!$AN$66</f>
        <v>145.41300000000001</v>
      </c>
      <c r="K54" s="99">
        <f>[1]Database!$AQ$66</f>
        <v>-1.9059999999999999</v>
      </c>
      <c r="L54" s="100">
        <f>[1]Database!$AU$66+[1]Database!$AV$66-[1]Database!$AW$66</f>
        <v>-34.891842593591207</v>
      </c>
      <c r="M54" s="45"/>
      <c r="N54" s="63" t="str">
        <f t="shared" si="69"/>
        <v>2003Q3</v>
      </c>
      <c r="O54" s="122">
        <f>[1]Database!H$66</f>
        <v>154.24928</v>
      </c>
      <c r="P54" s="102">
        <f>[1]Database!I$66</f>
        <v>52.934280000000001</v>
      </c>
      <c r="Q54" s="113">
        <f>[1]Database!J$66</f>
        <v>12.123280000000001</v>
      </c>
      <c r="R54" s="113">
        <f>[1]Database!K$66</f>
        <v>40.811</v>
      </c>
      <c r="S54" s="113">
        <f>[1]Database!L$66</f>
        <v>101.31500000000001</v>
      </c>
      <c r="T54" s="115">
        <f>[1]Database!M$66</f>
        <v>0</v>
      </c>
      <c r="U54" s="154">
        <f t="shared" si="70"/>
        <v>0</v>
      </c>
    </row>
    <row r="55" spans="1:21" hidden="1" x14ac:dyDescent="0.3">
      <c r="A55" s="63" t="s">
        <v>147</v>
      </c>
      <c r="B55" s="99">
        <f>[1]Database!$H$69</f>
        <v>172.89686900000001</v>
      </c>
      <c r="C55" s="99">
        <f>[1]Database!$N$69</f>
        <v>58.33182734076204</v>
      </c>
      <c r="D55" s="99">
        <f>[1]Database!$O$69+[1]Database!$V$69</f>
        <v>80.324980999999994</v>
      </c>
      <c r="E55" s="99">
        <f>[1]Database!$W$69</f>
        <v>-21.993153659237954</v>
      </c>
      <c r="F55" s="99"/>
      <c r="G55" s="99">
        <f>[1]Database!$AA$69</f>
        <v>151.01353610347201</v>
      </c>
      <c r="H55" s="99">
        <f>[1]Database!$AC$69</f>
        <v>-14.333463896528009</v>
      </c>
      <c r="I55" s="99">
        <f>[1]Database!$AK$69</f>
        <v>12.071</v>
      </c>
      <c r="J55" s="99">
        <f>[1]Database!$AN$69</f>
        <v>154.15100000000001</v>
      </c>
      <c r="K55" s="99">
        <f>[1]Database!$AQ$69</f>
        <v>-0.875</v>
      </c>
      <c r="L55" s="100">
        <f>[1]Database!$AU$69+[1]Database!$AV$69-[1]Database!$AW$69</f>
        <v>-36.448494444234029</v>
      </c>
      <c r="M55" s="45"/>
      <c r="N55" s="63" t="str">
        <f t="shared" si="69"/>
        <v>2003Q4</v>
      </c>
      <c r="O55" s="122">
        <f>[1]Database!H$69</f>
        <v>172.89686900000001</v>
      </c>
      <c r="P55" s="102">
        <f>[1]Database!I$69</f>
        <v>62.085869000000002</v>
      </c>
      <c r="Q55" s="113">
        <f>[1]Database!J$69</f>
        <v>14.321869000000001</v>
      </c>
      <c r="R55" s="113">
        <f>[1]Database!K$69</f>
        <v>47.764000000000003</v>
      </c>
      <c r="S55" s="113">
        <f>[1]Database!L$69</f>
        <v>110.81100000000001</v>
      </c>
      <c r="T55" s="115">
        <f>[1]Database!M$69</f>
        <v>0</v>
      </c>
      <c r="U55" s="154">
        <f t="shared" si="70"/>
        <v>0</v>
      </c>
    </row>
    <row r="56" spans="1:21" hidden="1" x14ac:dyDescent="0.3">
      <c r="A56" s="63" t="s">
        <v>148</v>
      </c>
      <c r="B56" s="99">
        <f>[1]Database!$H$72</f>
        <v>166.24489399999999</v>
      </c>
      <c r="C56" s="99">
        <f>[1]Database!$N$72</f>
        <v>51.425418999999991</v>
      </c>
      <c r="D56" s="99">
        <f>[1]Database!$O$72+[1]Database!$V$72</f>
        <v>73.765218999999988</v>
      </c>
      <c r="E56" s="99">
        <f>[1]Database!$W$72</f>
        <v>-22.3398</v>
      </c>
      <c r="F56" s="99"/>
      <c r="G56" s="99">
        <f>[1]Database!$AA$72</f>
        <v>153.18680730143382</v>
      </c>
      <c r="H56" s="99">
        <f>[1]Database!$AC$72</f>
        <v>-11.893192698566203</v>
      </c>
      <c r="I56" s="99">
        <f>[1]Database!$AK$72</f>
        <v>11.606</v>
      </c>
      <c r="J56" s="99">
        <f>[1]Database!$AN$72</f>
        <v>154.83500000000001</v>
      </c>
      <c r="K56" s="99">
        <f>[1]Database!$AQ$72</f>
        <v>-1.361</v>
      </c>
      <c r="L56" s="100">
        <f>[1]Database!$AU$72+[1]Database!$AV$72-[1]Database!$AW$72</f>
        <v>-38.367332301433819</v>
      </c>
      <c r="M56" s="45"/>
      <c r="N56" s="63" t="str">
        <f t="shared" ref="N56:N59" si="71">A56</f>
        <v>2004Q1</v>
      </c>
      <c r="O56" s="122">
        <f>[1]Database!H$72</f>
        <v>166.24489399999999</v>
      </c>
      <c r="P56" s="102">
        <f>[1]Database!I$72</f>
        <v>52.077894000000001</v>
      </c>
      <c r="Q56" s="113">
        <f>[1]Database!J$72</f>
        <v>11.312894</v>
      </c>
      <c r="R56" s="113">
        <f>[1]Database!K$72</f>
        <v>40.765000000000001</v>
      </c>
      <c r="S56" s="113">
        <f>[1]Database!L$72</f>
        <v>114.167</v>
      </c>
      <c r="T56" s="115">
        <f>[1]Database!M$72</f>
        <v>0</v>
      </c>
      <c r="U56" s="154">
        <f t="shared" ref="U56:U59" si="72">O56-C56-G56-L56</f>
        <v>0</v>
      </c>
    </row>
    <row r="57" spans="1:21" hidden="1" x14ac:dyDescent="0.3">
      <c r="A57" s="63" t="s">
        <v>149</v>
      </c>
      <c r="B57" s="99">
        <f>[1]Database!$H$75</f>
        <v>178.477903</v>
      </c>
      <c r="C57" s="99">
        <f>[1]Database!$N$75</f>
        <v>85.550751679334056</v>
      </c>
      <c r="D57" s="99">
        <f>[1]Database!$O$75+[1]Database!$V$75</f>
        <v>109.31183</v>
      </c>
      <c r="E57" s="99">
        <f>[1]Database!$W$75</f>
        <v>-23.761078320665941</v>
      </c>
      <c r="F57" s="99"/>
      <c r="G57" s="99">
        <f>[1]Database!$AA$75</f>
        <v>131.82614260856599</v>
      </c>
      <c r="H57" s="99">
        <f>[1]Database!$AC$75</f>
        <v>-10.731857391433998</v>
      </c>
      <c r="I57" s="99">
        <f>[1]Database!$AK$75</f>
        <v>11.077999999999999</v>
      </c>
      <c r="J57" s="99">
        <f>[1]Database!$AN$75</f>
        <v>133.357</v>
      </c>
      <c r="K57" s="99">
        <f>[1]Database!$AQ$75</f>
        <v>-1.877</v>
      </c>
      <c r="L57" s="100">
        <f>[1]Database!$AU$75+[1]Database!$AV$75-[1]Database!$AW$75</f>
        <v>-38.898991287900046</v>
      </c>
      <c r="M57" s="45"/>
      <c r="N57" s="63" t="str">
        <f t="shared" si="71"/>
        <v>2004Q2</v>
      </c>
      <c r="O57" s="122">
        <f>[1]Database!H$75</f>
        <v>178.477903</v>
      </c>
      <c r="P57" s="102">
        <f>[1]Database!I$75</f>
        <v>65.822902999999997</v>
      </c>
      <c r="Q57" s="113">
        <f>[1]Database!J$75</f>
        <v>15.198903</v>
      </c>
      <c r="R57" s="113">
        <f>[1]Database!K$75</f>
        <v>50.624000000000002</v>
      </c>
      <c r="S57" s="113">
        <f>[1]Database!L$75</f>
        <v>112.655</v>
      </c>
      <c r="T57" s="115">
        <f>[1]Database!M$75</f>
        <v>0</v>
      </c>
      <c r="U57" s="154">
        <f t="shared" si="72"/>
        <v>0</v>
      </c>
    </row>
    <row r="58" spans="1:21" hidden="1" x14ac:dyDescent="0.3">
      <c r="A58" s="63" t="s">
        <v>150</v>
      </c>
      <c r="B58" s="99">
        <f>[1]Database!$H$78</f>
        <v>181.38953899999998</v>
      </c>
      <c r="C58" s="99">
        <f>[1]Database!$N$78</f>
        <v>86.03576046790964</v>
      </c>
      <c r="D58" s="99">
        <f>[1]Database!$O$78+[1]Database!$V$78</f>
        <v>93.940004999999999</v>
      </c>
      <c r="E58" s="99">
        <f>[1]Database!$W$78</f>
        <v>-7.9042445320903552</v>
      </c>
      <c r="F58" s="99"/>
      <c r="G58" s="99">
        <f>[1]Database!$AA$78</f>
        <v>132.02133698838441</v>
      </c>
      <c r="H58" s="99">
        <f>[1]Database!$AC$78</f>
        <v>-5.9552630116156031</v>
      </c>
      <c r="I58" s="99">
        <f>[1]Database!$AK$78</f>
        <v>8.8219999999999992</v>
      </c>
      <c r="J58" s="99">
        <f>[1]Database!$AN$78</f>
        <v>132.745</v>
      </c>
      <c r="K58" s="99">
        <f>[1]Database!$AQ$78</f>
        <v>-3.5904000000000003</v>
      </c>
      <c r="L58" s="100">
        <f>[1]Database!$AU$78+[1]Database!$AV$78-[1]Database!$AW$78</f>
        <v>-36.66755845629406</v>
      </c>
      <c r="M58" s="45"/>
      <c r="N58" s="63" t="str">
        <f t="shared" si="71"/>
        <v>2004Q3</v>
      </c>
      <c r="O58" s="122">
        <f>[1]Database!H$78</f>
        <v>181.38953899999998</v>
      </c>
      <c r="P58" s="102">
        <f>[1]Database!I$78</f>
        <v>63.853439000000002</v>
      </c>
      <c r="Q58" s="113">
        <f>[1]Database!J$78</f>
        <v>12.603439</v>
      </c>
      <c r="R58" s="113">
        <f>[1]Database!K$78</f>
        <v>51.25</v>
      </c>
      <c r="S58" s="113">
        <f>[1]Database!L$78</f>
        <v>117.53609999999999</v>
      </c>
      <c r="T58" s="115">
        <f>[1]Database!M$78</f>
        <v>0</v>
      </c>
      <c r="U58" s="154">
        <f t="shared" si="72"/>
        <v>0</v>
      </c>
    </row>
    <row r="59" spans="1:21" hidden="1" x14ac:dyDescent="0.3">
      <c r="A59" s="63" t="s">
        <v>151</v>
      </c>
      <c r="B59" s="99">
        <f>[1]Database!$H$81</f>
        <v>195.71254299999998</v>
      </c>
      <c r="C59" s="99">
        <f>[1]Database!$N$81</f>
        <v>93.698876999999996</v>
      </c>
      <c r="D59" s="99">
        <f>[1]Database!$O$81+[1]Database!$V$81</f>
        <v>105.62387699999999</v>
      </c>
      <c r="E59" s="99">
        <f>[1]Database!$W$81</f>
        <v>-11.924999999999999</v>
      </c>
      <c r="F59" s="99"/>
      <c r="G59" s="99">
        <f>[1]Database!$AA$81</f>
        <v>139.97551763657657</v>
      </c>
      <c r="H59" s="99">
        <f>[1]Database!$AC$81</f>
        <v>-20.633482363423397</v>
      </c>
      <c r="I59" s="99">
        <f>[1]Database!$AK$81</f>
        <v>6.899</v>
      </c>
      <c r="J59" s="99">
        <f>[1]Database!$AN$81</f>
        <v>154.90199999999999</v>
      </c>
      <c r="K59" s="99">
        <f>[1]Database!$AQ$81</f>
        <v>-1.1919999999999999</v>
      </c>
      <c r="L59" s="100">
        <f>[1]Database!$AU$81+[1]Database!$AV$81-[1]Database!$AW$81</f>
        <v>-37.961851636576583</v>
      </c>
      <c r="M59" s="45"/>
      <c r="N59" s="63" t="str">
        <f t="shared" si="71"/>
        <v>2004Q4</v>
      </c>
      <c r="O59" s="122">
        <f>[1]Database!H$81</f>
        <v>195.71254299999998</v>
      </c>
      <c r="P59" s="102">
        <f>[1]Database!I$81</f>
        <v>71.845543000000006</v>
      </c>
      <c r="Q59" s="113">
        <f>[1]Database!J$81</f>
        <v>17.291543000000001</v>
      </c>
      <c r="R59" s="113">
        <f>[1]Database!K$81</f>
        <v>54.554000000000002</v>
      </c>
      <c r="S59" s="113">
        <f>[1]Database!L$81</f>
        <v>123.86699999999999</v>
      </c>
      <c r="T59" s="115">
        <f>[1]Database!M$81</f>
        <v>0</v>
      </c>
      <c r="U59" s="154">
        <f t="shared" si="72"/>
        <v>0</v>
      </c>
    </row>
    <row r="60" spans="1:21" hidden="1" x14ac:dyDescent="0.3">
      <c r="A60" s="63" t="s">
        <v>152</v>
      </c>
      <c r="B60" s="99">
        <f>[1]Database!$H$84</f>
        <v>189.80494399999998</v>
      </c>
      <c r="C60" s="99">
        <f>[1]Database!$N$84</f>
        <v>80.481311182997118</v>
      </c>
      <c r="D60" s="99">
        <f>[1]Database!$O$84+[1]Database!$V$84</f>
        <v>95.852344000000002</v>
      </c>
      <c r="E60" s="99">
        <f>[1]Database!$W$84</f>
        <v>-15.371032817002881</v>
      </c>
      <c r="F60" s="99"/>
      <c r="G60" s="99">
        <f>[1]Database!$AA$84</f>
        <v>144.63704614265001</v>
      </c>
      <c r="H60" s="99">
        <f>[1]Database!$AC$84</f>
        <v>-26.375953857349998</v>
      </c>
      <c r="I60" s="99">
        <f>[1]Database!$AK$84</f>
        <v>6.5720000000000001</v>
      </c>
      <c r="J60" s="99">
        <f>[1]Database!$AN$84</f>
        <v>171.51599999999999</v>
      </c>
      <c r="K60" s="99">
        <f>[1]Database!$AQ$84</f>
        <v>-7.0750000000000002</v>
      </c>
      <c r="L60" s="100">
        <f>[1]Database!$AU$84+[1]Database!$AV$84-[1]Database!$AW$84</f>
        <v>-35.313413325647147</v>
      </c>
      <c r="M60" s="45"/>
      <c r="N60" s="63" t="str">
        <f t="shared" ref="N60:N63" si="73">A60</f>
        <v>2005Q1</v>
      </c>
      <c r="O60" s="122">
        <f>[1]Database!H$84</f>
        <v>189.80494399999998</v>
      </c>
      <c r="P60" s="102">
        <f>[1]Database!I$84</f>
        <v>68.290943999999996</v>
      </c>
      <c r="Q60" s="113">
        <f>[1]Database!J$84</f>
        <v>14.695943999999999</v>
      </c>
      <c r="R60" s="113">
        <f>[1]Database!K$84</f>
        <v>53.594999999999999</v>
      </c>
      <c r="S60" s="113">
        <f>[1]Database!L$84</f>
        <v>121.514</v>
      </c>
      <c r="T60" s="115">
        <f>[1]Database!M$84</f>
        <v>0</v>
      </c>
      <c r="U60" s="154">
        <f t="shared" ref="U60:U63" si="74">O60-C60-G60-L60</f>
        <v>0</v>
      </c>
    </row>
    <row r="61" spans="1:21" hidden="1" x14ac:dyDescent="0.3">
      <c r="A61" s="63" t="s">
        <v>153</v>
      </c>
      <c r="B61" s="99">
        <f>[1]Database!$H$87</f>
        <v>200.089204</v>
      </c>
      <c r="C61" s="99">
        <f>[1]Database!$N$87</f>
        <v>77.172061999999997</v>
      </c>
      <c r="D61" s="99">
        <f>[1]Database!$O$87+[1]Database!$V$87</f>
        <v>91.775515999999996</v>
      </c>
      <c r="E61" s="99">
        <f>[1]Database!$W$87</f>
        <v>-14.603454000000001</v>
      </c>
      <c r="F61" s="99"/>
      <c r="G61" s="99">
        <f>[1]Database!$AA$87</f>
        <v>165.51327600000002</v>
      </c>
      <c r="H61" s="99">
        <f>[1]Database!$AC$87</f>
        <v>-26.311723999999995</v>
      </c>
      <c r="I61" s="99">
        <f>[1]Database!$AK$87</f>
        <v>6.4290000000000003</v>
      </c>
      <c r="J61" s="99">
        <f>[1]Database!$AN$87</f>
        <v>189.85900000000001</v>
      </c>
      <c r="K61" s="99">
        <f>[1]Database!$AQ$87</f>
        <v>-4.4630000000000001</v>
      </c>
      <c r="L61" s="100">
        <f>[1]Database!$AU$87+[1]Database!$AV$87-[1]Database!$AW$87</f>
        <v>-42.596134000000021</v>
      </c>
      <c r="M61" s="45"/>
      <c r="N61" s="63" t="str">
        <f t="shared" si="73"/>
        <v>2005Q2</v>
      </c>
      <c r="O61" s="122">
        <f>[1]Database!H$87</f>
        <v>200.089204</v>
      </c>
      <c r="P61" s="102">
        <f>[1]Database!I$87</f>
        <v>68.729203999999996</v>
      </c>
      <c r="Q61" s="113">
        <f>[1]Database!J$87</f>
        <v>14.894204</v>
      </c>
      <c r="R61" s="113">
        <f>[1]Database!K$87</f>
        <v>53.835000000000001</v>
      </c>
      <c r="S61" s="113">
        <f>[1]Database!L$87</f>
        <v>131.36000000000001</v>
      </c>
      <c r="T61" s="115">
        <f>[1]Database!M$87</f>
        <v>0</v>
      </c>
      <c r="U61" s="154">
        <f t="shared" si="74"/>
        <v>0</v>
      </c>
    </row>
    <row r="62" spans="1:21" hidden="1" x14ac:dyDescent="0.3">
      <c r="A62" s="63" t="s">
        <v>154</v>
      </c>
      <c r="B62" s="99">
        <f>[1]Database!$H$90</f>
        <v>217.27125000000001</v>
      </c>
      <c r="C62" s="99">
        <f>[1]Database!$N$90</f>
        <v>82.142194000000003</v>
      </c>
      <c r="D62" s="99">
        <f>[1]Database!$O$90+[1]Database!$V$90</f>
        <v>96.866618000000003</v>
      </c>
      <c r="E62" s="99">
        <f>[1]Database!$W$90</f>
        <v>-14.724423999999999</v>
      </c>
      <c r="F62" s="99"/>
      <c r="G62" s="99">
        <f>[1]Database!$AA$90</f>
        <v>183.249686</v>
      </c>
      <c r="H62" s="99">
        <f>[1]Database!$AC$90</f>
        <v>-26.777313999999997</v>
      </c>
      <c r="I62" s="99">
        <f>[1]Database!$AK$90</f>
        <v>6.1219999999999999</v>
      </c>
      <c r="J62" s="99">
        <f>[1]Database!$AN$90</f>
        <v>206.96600000000001</v>
      </c>
      <c r="K62" s="99">
        <f>[1]Database!$AQ$90</f>
        <v>-3.0609999999999999</v>
      </c>
      <c r="L62" s="100">
        <f>[1]Database!$AU$90+[1]Database!$AV$90-[1]Database!$AW$90</f>
        <v>-48.120630000000006</v>
      </c>
      <c r="M62" s="45"/>
      <c r="N62" s="63" t="str">
        <f t="shared" si="73"/>
        <v>2005Q3</v>
      </c>
      <c r="O62" s="122">
        <f>[1]Database!H$90</f>
        <v>217.27125000000001</v>
      </c>
      <c r="P62" s="102">
        <f>[1]Database!I$90</f>
        <v>61.192250000000001</v>
      </c>
      <c r="Q62" s="113">
        <f>[1]Database!J$90</f>
        <v>14.85425</v>
      </c>
      <c r="R62" s="113">
        <f>[1]Database!K$90</f>
        <v>46.338000000000001</v>
      </c>
      <c r="S62" s="113">
        <f>[1]Database!L$90</f>
        <v>156.07900000000001</v>
      </c>
      <c r="T62" s="115">
        <f>[1]Database!M$90</f>
        <v>0</v>
      </c>
      <c r="U62" s="154">
        <f t="shared" si="74"/>
        <v>0</v>
      </c>
    </row>
    <row r="63" spans="1:21" hidden="1" x14ac:dyDescent="0.3">
      <c r="A63" s="63" t="s">
        <v>155</v>
      </c>
      <c r="B63" s="99">
        <f>[1]Database!$H$93</f>
        <v>238.96438000000001</v>
      </c>
      <c r="C63" s="99">
        <f>[1]Database!$N$93</f>
        <v>78.301640999999989</v>
      </c>
      <c r="D63" s="99">
        <f>[1]Database!$O$93+[1]Database!$V$93</f>
        <v>96.527367999999996</v>
      </c>
      <c r="E63" s="99">
        <f>[1]Database!$W$93</f>
        <v>-18.225726999999999</v>
      </c>
      <c r="F63" s="99"/>
      <c r="G63" s="99">
        <f>[1]Database!$AA$93</f>
        <v>210.94910400000001</v>
      </c>
      <c r="H63" s="99">
        <f>[1]Database!$AC$93</f>
        <v>-22.005896</v>
      </c>
      <c r="I63" s="99">
        <f>[1]Database!$AK$93</f>
        <v>6.0549999999999997</v>
      </c>
      <c r="J63" s="99">
        <f>[1]Database!$AN$93</f>
        <v>228.15700000000001</v>
      </c>
      <c r="K63" s="99">
        <f>[1]Database!$AQ$93</f>
        <v>-1.2569999999999999</v>
      </c>
      <c r="L63" s="100">
        <f>[1]Database!$AU$93+[1]Database!$AV$93-[1]Database!$AW$93</f>
        <v>-50.286364999999989</v>
      </c>
      <c r="M63" s="45"/>
      <c r="N63" s="63" t="str">
        <f t="shared" si="73"/>
        <v>2005Q4</v>
      </c>
      <c r="O63" s="122">
        <f>[1]Database!H$93</f>
        <v>238.96438000000001</v>
      </c>
      <c r="P63" s="102">
        <f>[1]Database!I$93</f>
        <v>73.639380000000003</v>
      </c>
      <c r="Q63" s="113">
        <f>[1]Database!J$93</f>
        <v>20.606380000000001</v>
      </c>
      <c r="R63" s="113">
        <f>[1]Database!K$93</f>
        <v>53.033000000000001</v>
      </c>
      <c r="S63" s="113">
        <f>[1]Database!L$93</f>
        <v>165.32499999999999</v>
      </c>
      <c r="T63" s="115">
        <f>[1]Database!M$93</f>
        <v>0</v>
      </c>
      <c r="U63" s="154">
        <f t="shared" si="74"/>
        <v>0</v>
      </c>
    </row>
    <row r="64" spans="1:21" hidden="1" x14ac:dyDescent="0.3">
      <c r="A64" s="63" t="s">
        <v>156</v>
      </c>
      <c r="B64" s="99">
        <f>[1]Database!$H$96</f>
        <v>216.978171</v>
      </c>
      <c r="C64" s="99">
        <f>[1]Database!$N$96</f>
        <v>68.782665000000009</v>
      </c>
      <c r="D64" s="99">
        <f>[1]Database!$O$96+[1]Database!$V$96</f>
        <v>86.073125000000005</v>
      </c>
      <c r="E64" s="99">
        <f>[1]Database!$W$96</f>
        <v>-17.290459999999999</v>
      </c>
      <c r="F64" s="99"/>
      <c r="G64" s="99">
        <f>[1]Database!$AA$96</f>
        <v>197.77773000000002</v>
      </c>
      <c r="H64" s="99">
        <f>[1]Database!$AC$96</f>
        <v>-37.215269999999997</v>
      </c>
      <c r="I64" s="99">
        <f>[1]Database!$AK$96</f>
        <v>5.5869999999999997</v>
      </c>
      <c r="J64" s="99">
        <f>[1]Database!$AN$96</f>
        <v>231.501</v>
      </c>
      <c r="K64" s="99">
        <f>[1]Database!$AQ$96</f>
        <v>-2.0950000000000002</v>
      </c>
      <c r="L64" s="100">
        <f>[1]Database!$AU$96+[1]Database!$AV$96-[1]Database!$AW$96</f>
        <v>-49.582224000000025</v>
      </c>
      <c r="M64" s="45"/>
      <c r="N64" s="63" t="str">
        <f t="shared" ref="N64:N67" si="75">A64</f>
        <v>2006Q1</v>
      </c>
      <c r="O64" s="122">
        <f>[1]Database!H$96</f>
        <v>216.978171</v>
      </c>
      <c r="P64" s="102">
        <f>[1]Database!I$96</f>
        <v>58.240171000000004</v>
      </c>
      <c r="Q64" s="113">
        <f>[1]Database!J$96</f>
        <v>15.829171000000001</v>
      </c>
      <c r="R64" s="113">
        <f>[1]Database!K$96</f>
        <v>42.411000000000001</v>
      </c>
      <c r="S64" s="113">
        <f>[1]Database!L$96</f>
        <v>158.738</v>
      </c>
      <c r="T64" s="115">
        <f>[1]Database!M$96</f>
        <v>0</v>
      </c>
      <c r="U64" s="154">
        <f t="shared" ref="U64:U67" si="76">O64-C64-G64-L64</f>
        <v>0</v>
      </c>
    </row>
    <row r="65" spans="1:21" hidden="1" x14ac:dyDescent="0.3">
      <c r="A65" s="63" t="s">
        <v>157</v>
      </c>
      <c r="B65" s="99">
        <f>[1]Database!$H$99</f>
        <v>228.897165</v>
      </c>
      <c r="C65" s="99">
        <f>[1]Database!$N$99</f>
        <v>72.551353999999989</v>
      </c>
      <c r="D65" s="99">
        <f>[1]Database!$O$99+[1]Database!$V$99</f>
        <v>95.010268999999994</v>
      </c>
      <c r="E65" s="99">
        <f>[1]Database!$W$99</f>
        <v>-22.458915000000001</v>
      </c>
      <c r="F65" s="99"/>
      <c r="G65" s="99">
        <f>[1]Database!$AA$99</f>
        <v>213.46575999999999</v>
      </c>
      <c r="H65" s="99">
        <f>[1]Database!$AC$99</f>
        <v>-19.075239999999997</v>
      </c>
      <c r="I65" s="99">
        <f>[1]Database!$AK$99</f>
        <v>3.94</v>
      </c>
      <c r="J65" s="99">
        <f>[1]Database!$AN$99</f>
        <v>233.84200000000001</v>
      </c>
      <c r="K65" s="99">
        <f>[1]Database!$AQ$99</f>
        <v>-5.2409999999999997</v>
      </c>
      <c r="L65" s="100">
        <f>[1]Database!$AU$99+[1]Database!$AV$99-[1]Database!$AW$99</f>
        <v>-57.119948999999963</v>
      </c>
      <c r="M65" s="45"/>
      <c r="N65" s="63" t="str">
        <f t="shared" si="75"/>
        <v>2006Q2</v>
      </c>
      <c r="O65" s="122">
        <f>[1]Database!H$99</f>
        <v>228.897165</v>
      </c>
      <c r="P65" s="102">
        <f>[1]Database!I$99</f>
        <v>55.702165000000001</v>
      </c>
      <c r="Q65" s="113">
        <f>[1]Database!J$99</f>
        <v>17.123165</v>
      </c>
      <c r="R65" s="113">
        <f>[1]Database!K$99</f>
        <v>38.579000000000001</v>
      </c>
      <c r="S65" s="113">
        <f>[1]Database!L$99</f>
        <v>173.19499999999999</v>
      </c>
      <c r="T65" s="115">
        <f>[1]Database!M$99</f>
        <v>0</v>
      </c>
      <c r="U65" s="154">
        <f t="shared" si="76"/>
        <v>0</v>
      </c>
    </row>
    <row r="66" spans="1:21" hidden="1" x14ac:dyDescent="0.3">
      <c r="A66" s="63" t="s">
        <v>158</v>
      </c>
      <c r="B66" s="99">
        <f>[1]Database!$H$102</f>
        <v>248.13276099999999</v>
      </c>
      <c r="C66" s="99">
        <f>[1]Database!$N$102</f>
        <v>77.329502000000005</v>
      </c>
      <c r="D66" s="99">
        <f>[1]Database!$O$102+[1]Database!$V$102</f>
        <v>96.941639000000009</v>
      </c>
      <c r="E66" s="99">
        <f>[1]Database!$W$102</f>
        <v>-19.612137000000001</v>
      </c>
      <c r="F66" s="99"/>
      <c r="G66" s="99">
        <f>[1]Database!$AA$102</f>
        <v>231.82347400000003</v>
      </c>
      <c r="H66" s="99">
        <f>[1]Database!$AC$102</f>
        <v>-4.8565259999999952</v>
      </c>
      <c r="I66" s="99">
        <f>[1]Database!$AK$102</f>
        <v>3.5680000000000001</v>
      </c>
      <c r="J66" s="99">
        <f>[1]Database!$AN$102</f>
        <v>238.00200000000001</v>
      </c>
      <c r="K66" s="99">
        <f>[1]Database!$AQ$102</f>
        <v>-4.8899999999999997</v>
      </c>
      <c r="L66" s="100">
        <f>[1]Database!$AU$102+[1]Database!$AV$102-[1]Database!$AW$102</f>
        <v>-61.020215000000064</v>
      </c>
      <c r="M66" s="45"/>
      <c r="N66" s="63" t="str">
        <f t="shared" si="75"/>
        <v>2006Q3</v>
      </c>
      <c r="O66" s="122">
        <f>[1]Database!H$102</f>
        <v>248.13276099999999</v>
      </c>
      <c r="P66" s="102">
        <f>[1]Database!I$102</f>
        <v>64.587761</v>
      </c>
      <c r="Q66" s="113">
        <f>[1]Database!J$102</f>
        <v>20.058760999999997</v>
      </c>
      <c r="R66" s="113">
        <f>[1]Database!K$102</f>
        <v>44.529000000000003</v>
      </c>
      <c r="S66" s="113">
        <f>[1]Database!L$102</f>
        <v>183.54499999999999</v>
      </c>
      <c r="T66" s="115">
        <f>[1]Database!M$102</f>
        <v>0</v>
      </c>
      <c r="U66" s="154">
        <f t="shared" si="76"/>
        <v>0</v>
      </c>
    </row>
    <row r="67" spans="1:21" hidden="1" x14ac:dyDescent="0.3">
      <c r="A67" s="63" t="s">
        <v>159</v>
      </c>
      <c r="B67" s="99">
        <f>[1]Database!$H$105</f>
        <v>250.64321000000001</v>
      </c>
      <c r="C67" s="99">
        <f>[1]Database!$N$105</f>
        <v>76.218907000000002</v>
      </c>
      <c r="D67" s="99">
        <f>[1]Database!$O$105+[1]Database!$V$105</f>
        <v>95.940455</v>
      </c>
      <c r="E67" s="99">
        <f>[1]Database!$W$105</f>
        <v>-19.721547999999999</v>
      </c>
      <c r="F67" s="99"/>
      <c r="G67" s="99">
        <f>[1]Database!$AA$105</f>
        <v>231.45005899999998</v>
      </c>
      <c r="H67" s="99">
        <f>[1]Database!$AC$105</f>
        <v>-7.7919410000000049</v>
      </c>
      <c r="I67" s="99">
        <f>[1]Database!$AK$105</f>
        <v>3.0579999999999998</v>
      </c>
      <c r="J67" s="99">
        <f>[1]Database!$AN$105</f>
        <v>240.506</v>
      </c>
      <c r="K67" s="99">
        <f>[1]Database!$AQ$105</f>
        <v>-4.3220000000000001</v>
      </c>
      <c r="L67" s="100">
        <f>[1]Database!$AU$105+[1]Database!$AV$105-[1]Database!$AW$105</f>
        <v>-57.025755999999973</v>
      </c>
      <c r="M67" s="45"/>
      <c r="N67" s="63" t="str">
        <f t="shared" si="75"/>
        <v>2006Q4</v>
      </c>
      <c r="O67" s="122">
        <f>[1]Database!H$105</f>
        <v>250.64321000000001</v>
      </c>
      <c r="P67" s="102">
        <f>[1]Database!I$105</f>
        <v>70.078209999999999</v>
      </c>
      <c r="Q67" s="113">
        <f>[1]Database!J$105</f>
        <v>21.720209999999998</v>
      </c>
      <c r="R67" s="113">
        <f>[1]Database!K$105</f>
        <v>48.357999999999997</v>
      </c>
      <c r="S67" s="113">
        <f>[1]Database!L$105</f>
        <v>180.565</v>
      </c>
      <c r="T67" s="115">
        <f>[1]Database!M$105</f>
        <v>0</v>
      </c>
      <c r="U67" s="154">
        <f t="shared" si="76"/>
        <v>0</v>
      </c>
    </row>
    <row r="68" spans="1:21" hidden="1" x14ac:dyDescent="0.3">
      <c r="A68" s="63" t="s">
        <v>160</v>
      </c>
      <c r="B68" s="99">
        <f>[1]Database!$H$108</f>
        <v>244.93058200000002</v>
      </c>
      <c r="C68" s="99">
        <f>[1]Database!$N$108</f>
        <v>76.825699</v>
      </c>
      <c r="D68" s="99">
        <f>[1]Database!$O$108+[1]Database!$V$108</f>
        <v>99.741229000000004</v>
      </c>
      <c r="E68" s="99">
        <f>[1]Database!$W$108</f>
        <v>-22.91553</v>
      </c>
      <c r="F68" s="99"/>
      <c r="G68" s="99">
        <f>[1]Database!$AA$108</f>
        <v>227.838278</v>
      </c>
      <c r="H68" s="99">
        <f>[1]Database!$AC$108</f>
        <v>-17.578722000000003</v>
      </c>
      <c r="I68" s="99">
        <f>[1]Database!$AK$108</f>
        <v>2.6859999999999999</v>
      </c>
      <c r="J68" s="99">
        <f>[1]Database!$AN$108</f>
        <v>249.58799999999999</v>
      </c>
      <c r="K68" s="99">
        <f>[1]Database!$AQ$108</f>
        <v>-6.8570000000000002</v>
      </c>
      <c r="L68" s="100">
        <f>[1]Database!$AU$108+[1]Database!$AV$108-[1]Database!$AW$108</f>
        <v>-59.733394999999973</v>
      </c>
      <c r="M68" s="45"/>
      <c r="N68" s="63" t="str">
        <f t="shared" ref="N68:N77" si="77">A68</f>
        <v>2007Q1</v>
      </c>
      <c r="O68" s="122">
        <f>[1]Database!H$108</f>
        <v>244.93058200000002</v>
      </c>
      <c r="P68" s="102">
        <f>[1]Database!I$108</f>
        <v>68.703581999999997</v>
      </c>
      <c r="Q68" s="113">
        <f>[1]Database!J$108</f>
        <v>16.449581999999999</v>
      </c>
      <c r="R68" s="113">
        <f>[1]Database!K$108</f>
        <v>52.253999999999998</v>
      </c>
      <c r="S68" s="113">
        <f>[1]Database!L$108</f>
        <v>176.22700000000003</v>
      </c>
      <c r="T68" s="115">
        <f>[1]Database!M$108</f>
        <v>0</v>
      </c>
      <c r="U68" s="154">
        <f t="shared" ref="U68:U77" si="78">O68-C68-G68-L68</f>
        <v>0</v>
      </c>
    </row>
    <row r="69" spans="1:21" hidden="1" x14ac:dyDescent="0.3">
      <c r="A69" s="63" t="s">
        <v>161</v>
      </c>
      <c r="B69" s="99">
        <f>[1]Database!$H$111</f>
        <v>260.98849799999999</v>
      </c>
      <c r="C69" s="99">
        <f>[1]Database!$N$111</f>
        <v>81.717315000000013</v>
      </c>
      <c r="D69" s="99">
        <f>[1]Database!$O$111+[1]Database!$V$111</f>
        <v>103.64388700000001</v>
      </c>
      <c r="E69" s="99">
        <f>[1]Database!$W$111</f>
        <v>-21.926572</v>
      </c>
      <c r="F69" s="99"/>
      <c r="G69" s="99">
        <f>[1]Database!$AA$111</f>
        <v>244.98438200000001</v>
      </c>
      <c r="H69" s="99">
        <f>[1]Database!$AC$111</f>
        <v>-11.656617999999998</v>
      </c>
      <c r="I69" s="99">
        <f>[1]Database!$AK$111</f>
        <v>2.468</v>
      </c>
      <c r="J69" s="99">
        <f>[1]Database!$AN$111</f>
        <v>260.48500000000001</v>
      </c>
      <c r="K69" s="99">
        <f>[1]Database!$AQ$111</f>
        <v>-6.3120000000000003</v>
      </c>
      <c r="L69" s="100">
        <f>[1]Database!$AU$111+[1]Database!$AV$111-[1]Database!$AW$111</f>
        <v>-65.713199000000031</v>
      </c>
      <c r="M69" s="45"/>
      <c r="N69" s="63" t="str">
        <f t="shared" si="77"/>
        <v>2007Q2</v>
      </c>
      <c r="O69" s="122">
        <f>[1]Database!H$111</f>
        <v>260.98849799999999</v>
      </c>
      <c r="P69" s="102">
        <f>[1]Database!I$111</f>
        <v>73.759497999999994</v>
      </c>
      <c r="Q69" s="113">
        <f>[1]Database!J$111</f>
        <v>18.475497999999998</v>
      </c>
      <c r="R69" s="113">
        <f>[1]Database!K$111</f>
        <v>55.283999999999999</v>
      </c>
      <c r="S69" s="113">
        <f>[1]Database!L$111</f>
        <v>187.22900000000001</v>
      </c>
      <c r="T69" s="115">
        <f>[1]Database!M$111</f>
        <v>0</v>
      </c>
      <c r="U69" s="154">
        <f t="shared" si="78"/>
        <v>0</v>
      </c>
    </row>
    <row r="70" spans="1:21" hidden="1" x14ac:dyDescent="0.3">
      <c r="A70" s="63" t="s">
        <v>162</v>
      </c>
      <c r="B70" s="99">
        <f>[1]Database!$H$114</f>
        <v>272.34547799999996</v>
      </c>
      <c r="C70" s="99">
        <f>[1]Database!$N$114</f>
        <v>93.451661999999999</v>
      </c>
      <c r="D70" s="99">
        <f>[1]Database!$O$114+[1]Database!$V$114</f>
        <v>113.823145</v>
      </c>
      <c r="E70" s="99">
        <f>[1]Database!$W$114</f>
        <v>-20.371482999999998</v>
      </c>
      <c r="F70" s="99"/>
      <c r="G70" s="99">
        <f>[1]Database!$AA$114</f>
        <v>253.63340399999998</v>
      </c>
      <c r="H70" s="99">
        <f>[1]Database!$AC$114</f>
        <v>-10.415595999999997</v>
      </c>
      <c r="I70" s="99">
        <f>[1]Database!$AK$114</f>
        <v>2.3690000000000002</v>
      </c>
      <c r="J70" s="99">
        <f>[1]Database!$AN$114</f>
        <v>267.42700000000002</v>
      </c>
      <c r="K70" s="99">
        <f>[1]Database!$AQ$114</f>
        <v>-5.7469999999999999</v>
      </c>
      <c r="L70" s="100">
        <f>[1]Database!$AU$114+[1]Database!$AV$114-[1]Database!$AW$114</f>
        <v>-74.739588000000026</v>
      </c>
      <c r="M70" s="45"/>
      <c r="N70" s="63" t="str">
        <f t="shared" si="77"/>
        <v>2007Q3</v>
      </c>
      <c r="O70" s="122">
        <f>[1]Database!H$114</f>
        <v>272.34547799999996</v>
      </c>
      <c r="P70" s="102">
        <f>[1]Database!I$114</f>
        <v>79.892477999999997</v>
      </c>
      <c r="Q70" s="113">
        <f>[1]Database!J$114</f>
        <v>19.259477999999998</v>
      </c>
      <c r="R70" s="113">
        <f>[1]Database!K$114</f>
        <v>60.633000000000003</v>
      </c>
      <c r="S70" s="113">
        <f>[1]Database!L$114</f>
        <v>192.45299999999997</v>
      </c>
      <c r="T70" s="115">
        <f>[1]Database!M$114</f>
        <v>0</v>
      </c>
      <c r="U70" s="154">
        <f t="shared" si="78"/>
        <v>0</v>
      </c>
    </row>
    <row r="71" spans="1:21" hidden="1" x14ac:dyDescent="0.3">
      <c r="A71" s="63" t="s">
        <v>163</v>
      </c>
      <c r="B71" s="99">
        <f>[1]Database!$H$117</f>
        <v>284.94787300000002</v>
      </c>
      <c r="C71" s="99">
        <f>[1]Database!$N$117</f>
        <v>103.604597</v>
      </c>
      <c r="D71" s="99">
        <f>[1]Database!$O$117+[1]Database!$V$117</f>
        <v>123.140793</v>
      </c>
      <c r="E71" s="99">
        <f>[1]Database!$W$117</f>
        <v>-19.536196</v>
      </c>
      <c r="F71" s="99"/>
      <c r="G71" s="99">
        <f>[1]Database!$AA$117</f>
        <v>252.48380299999999</v>
      </c>
      <c r="H71" s="99">
        <f>[1]Database!$AC$117</f>
        <v>-24.759197000000004</v>
      </c>
      <c r="I71" s="99">
        <f>[1]Database!$AK$117</f>
        <v>3.7690000000000001</v>
      </c>
      <c r="J71" s="99">
        <f>[1]Database!$AN$117</f>
        <v>279.70100000000002</v>
      </c>
      <c r="K71" s="99">
        <f>[1]Database!$AQ$117</f>
        <v>-6.2270000000000003</v>
      </c>
      <c r="L71" s="100">
        <f>[1]Database!$AU$117+[1]Database!$AV$117-[1]Database!$AW$117</f>
        <v>-71.140526999999992</v>
      </c>
      <c r="M71" s="45"/>
      <c r="N71" s="63" t="str">
        <f t="shared" si="77"/>
        <v>2007Q4</v>
      </c>
      <c r="O71" s="122">
        <f>[1]Database!H$117</f>
        <v>284.94787300000002</v>
      </c>
      <c r="P71" s="102">
        <f>[1]Database!I$117</f>
        <v>87.904873000000009</v>
      </c>
      <c r="Q71" s="113">
        <f>[1]Database!J$117</f>
        <v>22.716873</v>
      </c>
      <c r="R71" s="113">
        <f>[1]Database!K$117</f>
        <v>65.188000000000002</v>
      </c>
      <c r="S71" s="113">
        <f>[1]Database!L$117</f>
        <v>197.04300000000001</v>
      </c>
      <c r="T71" s="115">
        <f>[1]Database!M$117</f>
        <v>0</v>
      </c>
      <c r="U71" s="154">
        <f t="shared" si="78"/>
        <v>0</v>
      </c>
    </row>
    <row r="72" spans="1:21" hidden="1" x14ac:dyDescent="0.3">
      <c r="A72" s="63" t="s">
        <v>164</v>
      </c>
      <c r="B72" s="99">
        <f>[1]Database!$H$120</f>
        <v>277.18315200000001</v>
      </c>
      <c r="C72" s="99">
        <f>[1]Database!$N$120</f>
        <v>84.070132999999998</v>
      </c>
      <c r="D72" s="99">
        <f>[1]Database!$O$120+[1]Database!$V$120</f>
        <v>105.494348</v>
      </c>
      <c r="E72" s="99">
        <f>[1]Database!$W$120</f>
        <v>-21.424215</v>
      </c>
      <c r="F72" s="99"/>
      <c r="G72" s="99">
        <f>[1]Database!$AA$120</f>
        <v>259.64308600000004</v>
      </c>
      <c r="H72" s="99">
        <f>[1]Database!$AC$120</f>
        <v>-30.507914</v>
      </c>
      <c r="I72" s="99">
        <f>[1]Database!$AK$120</f>
        <v>3.8540000000000001</v>
      </c>
      <c r="J72" s="99">
        <f>[1]Database!$AN$120</f>
        <v>291.58300000000003</v>
      </c>
      <c r="K72" s="99">
        <f>[1]Database!$AQ$120</f>
        <v>-5.2859999999999996</v>
      </c>
      <c r="L72" s="100">
        <f>[1]Database!$AU$120+[1]Database!$AV$120-[1]Database!$AW$120</f>
        <v>-66.530067000000031</v>
      </c>
      <c r="M72" s="45"/>
      <c r="N72" s="63" t="str">
        <f t="shared" si="77"/>
        <v>2008Q1</v>
      </c>
      <c r="O72" s="122">
        <f>[1]Database!H$120</f>
        <v>277.18315200000001</v>
      </c>
      <c r="P72" s="102">
        <f>[1]Database!I$120</f>
        <v>72.608152000000004</v>
      </c>
      <c r="Q72" s="113">
        <f>[1]Database!J$120</f>
        <v>17.987151999999998</v>
      </c>
      <c r="R72" s="113">
        <f>[1]Database!K$120</f>
        <v>54.621000000000002</v>
      </c>
      <c r="S72" s="113">
        <f>[1]Database!L$120</f>
        <v>204.57499999999999</v>
      </c>
      <c r="T72" s="115">
        <f>[1]Database!M$120</f>
        <v>0</v>
      </c>
      <c r="U72" s="154">
        <f t="shared" si="78"/>
        <v>0</v>
      </c>
    </row>
    <row r="73" spans="1:21" hidden="1" x14ac:dyDescent="0.3">
      <c r="A73" s="63" t="s">
        <v>165</v>
      </c>
      <c r="B73" s="99">
        <f>[1]Database!$H$123</f>
        <v>282.77857499999999</v>
      </c>
      <c r="C73" s="99">
        <f>[1]Database!$N$123</f>
        <v>79.862382999999994</v>
      </c>
      <c r="D73" s="99">
        <f>[1]Database!$O$123+[1]Database!$V$123</f>
        <v>99.897807999999998</v>
      </c>
      <c r="E73" s="99">
        <f>[1]Database!$W$123</f>
        <v>-20.035425</v>
      </c>
      <c r="F73" s="99"/>
      <c r="G73" s="99">
        <f>[1]Database!$AA$123</f>
        <v>282.22499599999998</v>
      </c>
      <c r="H73" s="99">
        <f>[1]Database!$AC$123</f>
        <v>-29.069003999999996</v>
      </c>
      <c r="I73" s="99">
        <f>[1]Database!$AK$123</f>
        <v>3.7450000000000001</v>
      </c>
      <c r="J73" s="99">
        <f>[1]Database!$AN$123</f>
        <v>311.779</v>
      </c>
      <c r="K73" s="99">
        <f>[1]Database!$AQ$123</f>
        <v>-4.2300000000000004</v>
      </c>
      <c r="L73" s="100">
        <f>[1]Database!$AU$123+[1]Database!$AV$123-[1]Database!$AW$123</f>
        <v>-79.308803999999981</v>
      </c>
      <c r="M73" s="45"/>
      <c r="N73" s="63" t="str">
        <f t="shared" si="77"/>
        <v>2008Q2</v>
      </c>
      <c r="O73" s="122">
        <f>[1]Database!H$123</f>
        <v>282.77857499999999</v>
      </c>
      <c r="P73" s="102">
        <f>[1]Database!I$123</f>
        <v>72.559574999999995</v>
      </c>
      <c r="Q73" s="113">
        <f>[1]Database!J$123</f>
        <v>18.773575000000001</v>
      </c>
      <c r="R73" s="113">
        <f>[1]Database!K$123</f>
        <v>53.786000000000001</v>
      </c>
      <c r="S73" s="113">
        <f>[1]Database!L$123</f>
        <v>210.21899999999999</v>
      </c>
      <c r="T73" s="115">
        <f>[1]Database!M$123</f>
        <v>0</v>
      </c>
      <c r="U73" s="154">
        <f t="shared" si="78"/>
        <v>0</v>
      </c>
    </row>
    <row r="74" spans="1:21" hidden="1" x14ac:dyDescent="0.3">
      <c r="A74" s="63" t="s">
        <v>166</v>
      </c>
      <c r="B74" s="99">
        <f>[1]Database!$H$126</f>
        <v>271.51755200000002</v>
      </c>
      <c r="C74" s="99">
        <f>[1]Database!$N$126</f>
        <v>116.79637100000002</v>
      </c>
      <c r="D74" s="99">
        <f>[1]Database!$O$126+[1]Database!$V$126</f>
        <v>143.69781400000002</v>
      </c>
      <c r="E74" s="99">
        <f>[1]Database!$W$126</f>
        <v>-26.901443</v>
      </c>
      <c r="F74" s="99"/>
      <c r="G74" s="99">
        <f>[1]Database!$AA$126</f>
        <v>255.42878000000002</v>
      </c>
      <c r="H74" s="99">
        <f>[1]Database!$AC$126</f>
        <v>-45.212220000000009</v>
      </c>
      <c r="I74" s="99">
        <f>[1]Database!$AK$126</f>
        <v>3.702</v>
      </c>
      <c r="J74" s="99">
        <f>[1]Database!$AN$126</f>
        <v>305.27100000000002</v>
      </c>
      <c r="K74" s="99">
        <f>[1]Database!$AQ$126</f>
        <v>-8.3320000000000007</v>
      </c>
      <c r="L74" s="100">
        <f>[1]Database!$AU$126+[1]Database!$AV$126-[1]Database!$AW$126</f>
        <v>-100.70759900000002</v>
      </c>
      <c r="M74" s="45"/>
      <c r="N74" s="63" t="str">
        <f t="shared" si="77"/>
        <v>2008Q3</v>
      </c>
      <c r="O74" s="122">
        <f>[1]Database!H$126</f>
        <v>271.51755200000002</v>
      </c>
      <c r="P74" s="102">
        <f>[1]Database!I$126</f>
        <v>66.347552000000007</v>
      </c>
      <c r="Q74" s="113">
        <f>[1]Database!J$126</f>
        <v>19.555551999999999</v>
      </c>
      <c r="R74" s="113">
        <f>[1]Database!K$126</f>
        <v>46.792000000000002</v>
      </c>
      <c r="S74" s="113">
        <f>[1]Database!L$126</f>
        <v>205.17000000000002</v>
      </c>
      <c r="T74" s="115">
        <f>[1]Database!M$126</f>
        <v>0</v>
      </c>
      <c r="U74" s="154">
        <f t="shared" si="78"/>
        <v>0</v>
      </c>
    </row>
    <row r="75" spans="1:21" hidden="1" x14ac:dyDescent="0.3">
      <c r="A75" s="63" t="s">
        <v>167</v>
      </c>
      <c r="B75" s="99">
        <f>[1]Database!$H$129</f>
        <v>287.38487399999997</v>
      </c>
      <c r="C75" s="99">
        <f>[1]Database!$N$129</f>
        <v>119.55187099999999</v>
      </c>
      <c r="D75" s="99">
        <f>[1]Database!$O$129+[1]Database!$V$129</f>
        <v>148.859827</v>
      </c>
      <c r="E75" s="99">
        <f>[1]Database!$W$129</f>
        <v>-29.307956000000001</v>
      </c>
      <c r="F75" s="99"/>
      <c r="G75" s="99">
        <f>[1]Database!$AA$129</f>
        <v>265.58749899999998</v>
      </c>
      <c r="H75" s="99">
        <f>[1]Database!$AC$129</f>
        <v>-36.451500999999993</v>
      </c>
      <c r="I75" s="99">
        <f>[1]Database!$AK$129</f>
        <v>3.524</v>
      </c>
      <c r="J75" s="99">
        <f>[1]Database!$AN$129</f>
        <v>307.79599999999999</v>
      </c>
      <c r="K75" s="99">
        <f>[1]Database!$AQ$129</f>
        <v>-9.2810000000000006</v>
      </c>
      <c r="L75" s="100">
        <f>[1]Database!$AU$129+[1]Database!$AV$129-[1]Database!$AW$129</f>
        <v>-97.754496000000017</v>
      </c>
      <c r="M75" s="45"/>
      <c r="N75" s="63" t="str">
        <f t="shared" si="77"/>
        <v>2008Q4</v>
      </c>
      <c r="O75" s="122">
        <f>[1]Database!H$129</f>
        <v>287.38487399999997</v>
      </c>
      <c r="P75" s="102">
        <f>[1]Database!I$129</f>
        <v>77.297874000000007</v>
      </c>
      <c r="Q75" s="113">
        <f>[1]Database!J$129</f>
        <v>24.788874</v>
      </c>
      <c r="R75" s="113">
        <f>[1]Database!K$129</f>
        <v>52.509</v>
      </c>
      <c r="S75" s="113">
        <f>[1]Database!L$129</f>
        <v>210.08699999999999</v>
      </c>
      <c r="T75" s="115">
        <f>[1]Database!M$129</f>
        <v>0</v>
      </c>
      <c r="U75" s="154">
        <f t="shared" si="78"/>
        <v>0</v>
      </c>
    </row>
    <row r="76" spans="1:21" hidden="1" x14ac:dyDescent="0.3">
      <c r="A76" s="63" t="s">
        <v>168</v>
      </c>
      <c r="B76" s="99">
        <f>[1]Database!$H$132</f>
        <v>272.70150799999999</v>
      </c>
      <c r="C76" s="99">
        <f>[1]Database!$N$132</f>
        <v>112.32550600000002</v>
      </c>
      <c r="D76" s="99">
        <f>[1]Database!$O$132+[1]Database!$V$132</f>
        <v>149.85550500000002</v>
      </c>
      <c r="E76" s="99">
        <f>[1]Database!$W$132</f>
        <v>-37.529999000000004</v>
      </c>
      <c r="F76" s="99"/>
      <c r="G76" s="99">
        <f>[1]Database!$AA$132</f>
        <v>255.44215899999998</v>
      </c>
      <c r="H76" s="99">
        <f>[1]Database!$AC$132</f>
        <v>-38.324840999999992</v>
      </c>
      <c r="I76" s="99">
        <f>[1]Database!$AK$132</f>
        <v>3.8340000000000001</v>
      </c>
      <c r="J76" s="99">
        <f>[1]Database!$AN$132</f>
        <v>306.72699999999998</v>
      </c>
      <c r="K76" s="99">
        <f>[1]Database!$AQ$132</f>
        <v>-16.794</v>
      </c>
      <c r="L76" s="100">
        <f>[1]Database!$AU$132+[1]Database!$AV$132-[1]Database!$AW$132</f>
        <v>-95.066157000000004</v>
      </c>
      <c r="M76" s="45"/>
      <c r="N76" s="63" t="str">
        <f t="shared" si="77"/>
        <v>2009Q1</v>
      </c>
      <c r="O76" s="122">
        <f>[1]Database!H$132</f>
        <v>272.70150799999999</v>
      </c>
      <c r="P76" s="102">
        <f>[1]Database!I$132</f>
        <v>79.746508000000006</v>
      </c>
      <c r="Q76" s="113">
        <f>[1]Database!J$132</f>
        <v>21.235508000000003</v>
      </c>
      <c r="R76" s="113">
        <f>[1]Database!K$132</f>
        <v>58.511000000000003</v>
      </c>
      <c r="S76" s="113">
        <f>[1]Database!L$132</f>
        <v>192.95500000000001</v>
      </c>
      <c r="T76" s="115">
        <f>[1]Database!M$132</f>
        <v>0</v>
      </c>
      <c r="U76" s="154">
        <f t="shared" si="78"/>
        <v>0</v>
      </c>
    </row>
    <row r="77" spans="1:21" hidden="1" x14ac:dyDescent="0.3">
      <c r="A77" s="63" t="s">
        <v>169</v>
      </c>
      <c r="B77" s="99">
        <f>[1]Database!$H$135</f>
        <v>277.30039900000003</v>
      </c>
      <c r="C77" s="99">
        <f>[1]Database!$N$135</f>
        <v>121.27518099999998</v>
      </c>
      <c r="D77" s="99">
        <f>[1]Database!$O$135+[1]Database!$V$135</f>
        <v>154.00532299999998</v>
      </c>
      <c r="E77" s="99">
        <f>[1]Database!$W$135</f>
        <v>-32.730142000000001</v>
      </c>
      <c r="F77" s="99"/>
      <c r="G77" s="99">
        <f>[1]Database!$AA$135</f>
        <v>262.17107700000003</v>
      </c>
      <c r="H77" s="99">
        <f>[1]Database!$AC$135</f>
        <v>-32.744923</v>
      </c>
      <c r="I77" s="99">
        <f>[1]Database!$AK$135</f>
        <v>3.855</v>
      </c>
      <c r="J77" s="99">
        <f>[1]Database!$AN$135</f>
        <v>302.77300000000002</v>
      </c>
      <c r="K77" s="99">
        <f>[1]Database!$AQ$135</f>
        <v>-11.712</v>
      </c>
      <c r="L77" s="100">
        <f>[1]Database!$AU$135+[1]Database!$AV$135-[1]Database!$AW$135</f>
        <v>-106.14585899999997</v>
      </c>
      <c r="M77" s="45"/>
      <c r="N77" s="63" t="str">
        <f t="shared" si="77"/>
        <v>2009Q2</v>
      </c>
      <c r="O77" s="122">
        <f>[1]Database!H$135</f>
        <v>277.30039900000003</v>
      </c>
      <c r="P77" s="102">
        <f>[1]Database!I$135</f>
        <v>77.908399000000003</v>
      </c>
      <c r="Q77" s="113">
        <f>[1]Database!J$135</f>
        <v>21.912399000000001</v>
      </c>
      <c r="R77" s="113">
        <f>[1]Database!K$135</f>
        <v>55.996000000000002</v>
      </c>
      <c r="S77" s="113">
        <f>[1]Database!L$135</f>
        <v>199.39200000000002</v>
      </c>
      <c r="T77" s="115">
        <f>[1]Database!M$135</f>
        <v>0</v>
      </c>
      <c r="U77" s="154">
        <f t="shared" si="78"/>
        <v>0</v>
      </c>
    </row>
    <row r="78" spans="1:21" hidden="1" x14ac:dyDescent="0.3">
      <c r="A78" s="63" t="s">
        <v>170</v>
      </c>
      <c r="B78" s="99">
        <f>[1]Database!$H$138</f>
        <v>286.854873</v>
      </c>
      <c r="C78" s="99">
        <f>[1]Database!$N$138</f>
        <v>151.27759</v>
      </c>
      <c r="D78" s="99">
        <f>[1]Database!$O$138+[1]Database!$V$138</f>
        <v>177.21055699999999</v>
      </c>
      <c r="E78" s="99">
        <f>[1]Database!$W$138</f>
        <v>-25.932966999999998</v>
      </c>
      <c r="F78" s="99"/>
      <c r="G78" s="99">
        <f>[1]Database!$AA$138</f>
        <v>241.97601399999999</v>
      </c>
      <c r="H78" s="99">
        <f>[1]Database!$AC$138</f>
        <v>-33.749986</v>
      </c>
      <c r="I78" s="99">
        <f>[1]Database!$AK$138</f>
        <v>3.645</v>
      </c>
      <c r="J78" s="99">
        <f>[1]Database!$AN$138</f>
        <v>283.27699999999999</v>
      </c>
      <c r="K78" s="99">
        <f>[1]Database!$AQ$138</f>
        <v>-11.196</v>
      </c>
      <c r="L78" s="100">
        <f>[1]Database!$AU$138+[1]Database!$AV$138-[1]Database!$AW$138</f>
        <v>-106.398731</v>
      </c>
      <c r="M78" s="45"/>
      <c r="N78" s="63" t="str">
        <f t="shared" ref="N78:N79" si="79">A78</f>
        <v>2009Q3</v>
      </c>
      <c r="O78" s="122">
        <f>[1]Database!H$138</f>
        <v>286.854873</v>
      </c>
      <c r="P78" s="102">
        <f>[1]Database!I$138</f>
        <v>85.156873000000004</v>
      </c>
      <c r="Q78" s="113">
        <f>[1]Database!J$138</f>
        <v>23.837872999999998</v>
      </c>
      <c r="R78" s="113">
        <f>[1]Database!K$138</f>
        <v>61.319000000000003</v>
      </c>
      <c r="S78" s="113">
        <f>[1]Database!L$138</f>
        <v>201.69800000000001</v>
      </c>
      <c r="T78" s="115">
        <f>[1]Database!M$138</f>
        <v>0</v>
      </c>
      <c r="U78" s="154">
        <f t="shared" ref="U78:U79" si="80">O78-C78-G78-L78</f>
        <v>0</v>
      </c>
    </row>
    <row r="79" spans="1:21" hidden="1" x14ac:dyDescent="0.3">
      <c r="A79" s="63" t="s">
        <v>171</v>
      </c>
      <c r="B79" s="99">
        <f>[1]Database!$H$141</f>
        <v>287.67973799999999</v>
      </c>
      <c r="C79" s="99">
        <f>[1]Database!$N$141</f>
        <v>147.372322</v>
      </c>
      <c r="D79" s="99">
        <f>[1]Database!$O$141+[1]Database!$V$141</f>
        <v>172.18282499999998</v>
      </c>
      <c r="E79" s="99">
        <f>[1]Database!$W$141</f>
        <v>-24.810502999999997</v>
      </c>
      <c r="F79" s="99"/>
      <c r="G79" s="99">
        <f>[1]Database!$AA$141</f>
        <v>247.93176800000003</v>
      </c>
      <c r="H79" s="99">
        <f>[1]Database!$AC$141</f>
        <v>-29.194232000000003</v>
      </c>
      <c r="I79" s="99">
        <f>[1]Database!$AK$141</f>
        <v>3.4510000000000001</v>
      </c>
      <c r="J79" s="99">
        <f>[1]Database!$AN$141</f>
        <v>281.851</v>
      </c>
      <c r="K79" s="99">
        <f>[1]Database!$AQ$141</f>
        <v>-8.1760000000000002</v>
      </c>
      <c r="L79" s="100">
        <f>[1]Database!$AU$141+[1]Database!$AV$141-[1]Database!$AW$141</f>
        <v>-107.62435200000004</v>
      </c>
      <c r="M79" s="45"/>
      <c r="N79" s="63" t="str">
        <f t="shared" si="79"/>
        <v>2009Q4</v>
      </c>
      <c r="O79" s="122">
        <f>[1]Database!H$141</f>
        <v>287.67973799999999</v>
      </c>
      <c r="P79" s="102">
        <f>[1]Database!I$141</f>
        <v>84.930738000000005</v>
      </c>
      <c r="Q79" s="113">
        <f>[1]Database!J$141</f>
        <v>25.726738000000001</v>
      </c>
      <c r="R79" s="113">
        <f>[1]Database!K$141</f>
        <v>59.204000000000001</v>
      </c>
      <c r="S79" s="113">
        <f>[1]Database!L$141</f>
        <v>202.749</v>
      </c>
      <c r="T79" s="115">
        <f>[1]Database!M$141</f>
        <v>0</v>
      </c>
      <c r="U79" s="154">
        <f t="shared" si="80"/>
        <v>0</v>
      </c>
    </row>
    <row r="80" spans="1:21" hidden="1" x14ac:dyDescent="0.3">
      <c r="A80" s="63" t="s">
        <v>172</v>
      </c>
      <c r="B80" s="99">
        <f>[1]Database!$H$144</f>
        <v>284.67664000000002</v>
      </c>
      <c r="C80" s="99">
        <f>[1]Database!$N$144</f>
        <v>141.97899100000001</v>
      </c>
      <c r="D80" s="99">
        <f>[1]Database!$O$144+[1]Database!$V$144</f>
        <v>171.68574799999999</v>
      </c>
      <c r="E80" s="99">
        <f>[1]Database!$W$144</f>
        <v>-29.706756999999996</v>
      </c>
      <c r="F80" s="99"/>
      <c r="G80" s="99">
        <f>[1]Database!$AA$144</f>
        <v>244.13399799999996</v>
      </c>
      <c r="H80" s="99">
        <f>[1]Database!$AC$144</f>
        <v>-25.272002000000001</v>
      </c>
      <c r="I80" s="99">
        <f>[1]Database!$AK$144</f>
        <v>8.8109999999999999</v>
      </c>
      <c r="J80" s="99">
        <f>[1]Database!$AN$144</f>
        <v>268.28199999999998</v>
      </c>
      <c r="K80" s="99">
        <f>[1]Database!$AQ$144</f>
        <v>-7.6870000000000003</v>
      </c>
      <c r="L80" s="100">
        <f>[1]Database!$AU$144+[1]Database!$AV$144-[1]Database!$AW$144</f>
        <v>-101.43634899999995</v>
      </c>
      <c r="M80" s="45"/>
      <c r="N80" s="63" t="str">
        <f t="shared" ref="N80:N87" si="81">A80</f>
        <v>2010Q1</v>
      </c>
      <c r="O80" s="122">
        <f>[1]Database!H$144</f>
        <v>284.67664000000002</v>
      </c>
      <c r="P80" s="102">
        <f>[1]Database!I$144</f>
        <v>80.317639999999997</v>
      </c>
      <c r="Q80" s="113">
        <f>[1]Database!J$144</f>
        <v>22.766639999999999</v>
      </c>
      <c r="R80" s="113">
        <f>[1]Database!K$144</f>
        <v>57.551000000000002</v>
      </c>
      <c r="S80" s="113">
        <f>[1]Database!L$144</f>
        <v>204.35900000000001</v>
      </c>
      <c r="T80" s="115">
        <f>[1]Database!M$144</f>
        <v>0</v>
      </c>
      <c r="U80" s="154">
        <f t="shared" ref="U80:U87" si="82">O80-C80-G80-L80</f>
        <v>0</v>
      </c>
    </row>
    <row r="81" spans="1:21" hidden="1" x14ac:dyDescent="0.3">
      <c r="A81" s="63" t="s">
        <v>173</v>
      </c>
      <c r="B81" s="99">
        <f>[1]Database!$H$147</f>
        <v>291.46330899999998</v>
      </c>
      <c r="C81" s="99">
        <f>[1]Database!$N$147</f>
        <v>164.781879</v>
      </c>
      <c r="D81" s="99">
        <f>[1]Database!$O$147+[1]Database!$V$147</f>
        <v>186.71318400000001</v>
      </c>
      <c r="E81" s="99">
        <f>[1]Database!$W$147</f>
        <v>-21.931305000000002</v>
      </c>
      <c r="F81" s="99"/>
      <c r="G81" s="99">
        <f>[1]Database!$AA$147</f>
        <v>235.03836200000001</v>
      </c>
      <c r="H81" s="99">
        <f>[1]Database!$AC$147</f>
        <v>-29.108637999999999</v>
      </c>
      <c r="I81" s="99">
        <f>[1]Database!$AK$147</f>
        <v>19.597000000000001</v>
      </c>
      <c r="J81" s="99">
        <f>[1]Database!$AN$147</f>
        <v>252.601</v>
      </c>
      <c r="K81" s="99">
        <f>[1]Database!$AQ$147</f>
        <v>-8.0510000000000002</v>
      </c>
      <c r="L81" s="100">
        <f>[1]Database!$AU$147+[1]Database!$AV$147-[1]Database!$AW$147</f>
        <v>-108.35693200000003</v>
      </c>
      <c r="M81" s="45"/>
      <c r="N81" s="63" t="str">
        <f t="shared" si="81"/>
        <v>2010Q2</v>
      </c>
      <c r="O81" s="122">
        <f>[1]Database!H$147</f>
        <v>291.46330899999998</v>
      </c>
      <c r="P81" s="102">
        <f>[1]Database!I$147</f>
        <v>90.090309000000005</v>
      </c>
      <c r="Q81" s="113">
        <f>[1]Database!J$147</f>
        <v>26.754309000000003</v>
      </c>
      <c r="R81" s="113">
        <f>[1]Database!K$147</f>
        <v>63.335999999999999</v>
      </c>
      <c r="S81" s="113">
        <f>[1]Database!L$147</f>
        <v>201.37299999999999</v>
      </c>
      <c r="T81" s="115">
        <f>[1]Database!M$147</f>
        <v>0</v>
      </c>
      <c r="U81" s="154">
        <f t="shared" si="82"/>
        <v>0</v>
      </c>
    </row>
    <row r="82" spans="1:21" hidden="1" x14ac:dyDescent="0.3">
      <c r="A82" s="63" t="s">
        <v>174</v>
      </c>
      <c r="B82" s="99">
        <f>[1]Database!$H$150</f>
        <v>286.78988399999997</v>
      </c>
      <c r="C82" s="99">
        <f>[1]Database!$N$150</f>
        <v>165.95665000000002</v>
      </c>
      <c r="D82" s="99">
        <f>[1]Database!$O$150+[1]Database!$V$150</f>
        <v>185.78433100000001</v>
      </c>
      <c r="E82" s="99">
        <f>[1]Database!$W$150</f>
        <v>-19.827680999999998</v>
      </c>
      <c r="F82" s="99"/>
      <c r="G82" s="99">
        <f>[1]Database!$AA$150</f>
        <v>238.11929499999999</v>
      </c>
      <c r="H82" s="99">
        <f>[1]Database!$AC$150</f>
        <v>-22.937704999999998</v>
      </c>
      <c r="I82" s="99">
        <f>[1]Database!$AK$150</f>
        <v>18.344000000000001</v>
      </c>
      <c r="J82" s="99">
        <f>[1]Database!$AN$150</f>
        <v>249.39599999999999</v>
      </c>
      <c r="K82" s="99">
        <f>[1]Database!$AQ$150</f>
        <v>-6.6829999999999998</v>
      </c>
      <c r="L82" s="100">
        <f>[1]Database!$AU$150+[1]Database!$AV$150-[1]Database!$AW$150</f>
        <v>-117.28606100000005</v>
      </c>
      <c r="M82" s="45"/>
      <c r="N82" s="63" t="str">
        <f t="shared" si="81"/>
        <v>2010Q3</v>
      </c>
      <c r="O82" s="122">
        <f>[1]Database!H$150</f>
        <v>286.78988399999997</v>
      </c>
      <c r="P82" s="102">
        <f>[1]Database!I$150</f>
        <v>86.212884000000003</v>
      </c>
      <c r="Q82" s="113">
        <f>[1]Database!J$150</f>
        <v>24.658883999999997</v>
      </c>
      <c r="R82" s="113">
        <f>[1]Database!K$150</f>
        <v>61.554000000000002</v>
      </c>
      <c r="S82" s="113">
        <f>[1]Database!L$150</f>
        <v>200.57699999999997</v>
      </c>
      <c r="T82" s="115">
        <f>[1]Database!M$150</f>
        <v>0</v>
      </c>
      <c r="U82" s="154">
        <f t="shared" si="82"/>
        <v>0</v>
      </c>
    </row>
    <row r="83" spans="1:21" hidden="1" x14ac:dyDescent="0.3">
      <c r="A83" s="63" t="s">
        <v>175</v>
      </c>
      <c r="B83" s="99">
        <f>[1]Database!$H$153</f>
        <v>305.47068200000001</v>
      </c>
      <c r="C83" s="99">
        <f>[1]Database!$N$153</f>
        <v>180.68016999999998</v>
      </c>
      <c r="D83" s="99">
        <f>[1]Database!$O$153+[1]Database!$V$153</f>
        <v>195.25081999999998</v>
      </c>
      <c r="E83" s="99">
        <f>[1]Database!$W$153</f>
        <v>-14.570650000000001</v>
      </c>
      <c r="F83" s="99"/>
      <c r="G83" s="99">
        <f>[1]Database!$AA$153</f>
        <v>240.59948818999999</v>
      </c>
      <c r="H83" s="99">
        <f>[1]Database!$AC$153</f>
        <v>-15.244890000000002</v>
      </c>
      <c r="I83" s="99">
        <f>[1]Database!$AK$153</f>
        <v>15.006</v>
      </c>
      <c r="J83" s="99">
        <f>[1]Database!$AN$153</f>
        <v>247.62537818999999</v>
      </c>
      <c r="K83" s="99">
        <f>[1]Database!$AQ$153</f>
        <v>-6.7869999999999999</v>
      </c>
      <c r="L83" s="100">
        <f>[1]Database!$AU$153+[1]Database!$AV$153-[1]Database!$AW$153</f>
        <v>-115.80897618999995</v>
      </c>
      <c r="M83" s="45"/>
      <c r="N83" s="63" t="str">
        <f t="shared" si="81"/>
        <v>2010Q4</v>
      </c>
      <c r="O83" s="122">
        <f>[1]Database!H$153</f>
        <v>305.47068200000001</v>
      </c>
      <c r="P83" s="102">
        <f>[1]Database!I$153</f>
        <v>98.485681999999997</v>
      </c>
      <c r="Q83" s="113">
        <f>[1]Database!J$153</f>
        <v>28.515682000000002</v>
      </c>
      <c r="R83" s="113">
        <f>[1]Database!K$153</f>
        <v>69.97</v>
      </c>
      <c r="S83" s="113">
        <f>[1]Database!L$153</f>
        <v>206.98500000000001</v>
      </c>
      <c r="T83" s="115">
        <f>[1]Database!M$153</f>
        <v>0</v>
      </c>
      <c r="U83" s="154">
        <f t="shared" si="82"/>
        <v>0</v>
      </c>
    </row>
    <row r="84" spans="1:21" hidden="1" x14ac:dyDescent="0.3">
      <c r="A84" s="63" t="s">
        <v>176</v>
      </c>
      <c r="B84" s="99">
        <f>[1]Database!$H$156</f>
        <v>285.108722</v>
      </c>
      <c r="C84" s="99">
        <f>[1]Database!$N$156</f>
        <v>164.10311100000001</v>
      </c>
      <c r="D84" s="99">
        <f>[1]Database!$O$156+[1]Database!$V$156</f>
        <v>171.36432000000002</v>
      </c>
      <c r="E84" s="99">
        <f>[1]Database!$W$156</f>
        <v>-7.2612089999999991</v>
      </c>
      <c r="F84" s="99"/>
      <c r="G84" s="99">
        <f>[1]Database!$AA$156</f>
        <v>237.04968588</v>
      </c>
      <c r="H84" s="99">
        <f>[1]Database!$AC$156</f>
        <v>-12.171310000000002</v>
      </c>
      <c r="I84" s="99">
        <f>[1]Database!$AK$156</f>
        <v>14.145</v>
      </c>
      <c r="J84" s="99">
        <f>[1]Database!$AN$156</f>
        <v>243.04599587999999</v>
      </c>
      <c r="K84" s="99">
        <f>[1]Database!$AQ$156</f>
        <v>-7.97</v>
      </c>
      <c r="L84" s="100">
        <f>[1]Database!$AU$156+[1]Database!$AV$156-[1]Database!$AW$156</f>
        <v>-116.04407488000001</v>
      </c>
      <c r="M84" s="45"/>
      <c r="N84" s="63" t="str">
        <f t="shared" si="81"/>
        <v>2011Q1</v>
      </c>
      <c r="O84" s="122">
        <f>[1]Database!H$156</f>
        <v>285.108722</v>
      </c>
      <c r="P84" s="102">
        <f>[1]Database!I$156</f>
        <v>78.993722000000005</v>
      </c>
      <c r="Q84" s="113">
        <f>[1]Database!J$156</f>
        <v>24.653722000000002</v>
      </c>
      <c r="R84" s="113">
        <f>[1]Database!K$156</f>
        <v>54.34</v>
      </c>
      <c r="S84" s="113">
        <f>[1]Database!L$156</f>
        <v>206.11499999999998</v>
      </c>
      <c r="T84" s="115">
        <f>[1]Database!M$156</f>
        <v>0</v>
      </c>
      <c r="U84" s="154">
        <f t="shared" si="82"/>
        <v>0</v>
      </c>
    </row>
    <row r="85" spans="1:21" hidden="1" x14ac:dyDescent="0.3">
      <c r="A85" s="63" t="s">
        <v>177</v>
      </c>
      <c r="B85" s="99">
        <f>[1]Database!$H$159</f>
        <v>299.23148900000001</v>
      </c>
      <c r="C85" s="99">
        <f>[1]Database!$N$159</f>
        <v>215.15198100000001</v>
      </c>
      <c r="D85" s="99">
        <f>[1]Database!$O$159+[1]Database!$V$159</f>
        <v>221.61171400000001</v>
      </c>
      <c r="E85" s="99">
        <f>[1]Database!$W$159</f>
        <v>-6.4597329999999999</v>
      </c>
      <c r="F85" s="99"/>
      <c r="G85" s="99">
        <f>[1]Database!$AA$159</f>
        <v>197.49067488999998</v>
      </c>
      <c r="H85" s="99">
        <f>[1]Database!$AC$159</f>
        <v>-32.459682000000001</v>
      </c>
      <c r="I85" s="99">
        <f>[1]Database!$AK$159</f>
        <v>13.173999999999999</v>
      </c>
      <c r="J85" s="99">
        <f>[1]Database!$AN$159</f>
        <v>227.70435688999999</v>
      </c>
      <c r="K85" s="99">
        <f>[1]Database!$AQ$159</f>
        <v>-10.928000000000001</v>
      </c>
      <c r="L85" s="100">
        <f>[1]Database!$AU$159+[1]Database!$AV$159-[1]Database!$AW$159</f>
        <v>-113.41116688999998</v>
      </c>
      <c r="M85" s="45"/>
      <c r="N85" s="63" t="str">
        <f t="shared" si="81"/>
        <v>2011Q2</v>
      </c>
      <c r="O85" s="122">
        <f>[1]Database!H$159</f>
        <v>299.23148900000001</v>
      </c>
      <c r="P85" s="102">
        <f>[1]Database!I$159</f>
        <v>96.931488999999999</v>
      </c>
      <c r="Q85" s="113">
        <f>[1]Database!J$159</f>
        <v>27.267489000000001</v>
      </c>
      <c r="R85" s="113">
        <f>[1]Database!K$159</f>
        <v>69.664000000000001</v>
      </c>
      <c r="S85" s="113">
        <f>[1]Database!L$159</f>
        <v>202.29999999999998</v>
      </c>
      <c r="T85" s="115">
        <f>[1]Database!M$159</f>
        <v>0</v>
      </c>
      <c r="U85" s="154">
        <f t="shared" si="82"/>
        <v>0</v>
      </c>
    </row>
    <row r="86" spans="1:21" hidden="1" x14ac:dyDescent="0.3">
      <c r="A86" s="63" t="s">
        <v>178</v>
      </c>
      <c r="B86" s="99">
        <f>[1]Database!$H$162</f>
        <v>289.58604100000002</v>
      </c>
      <c r="C86" s="99">
        <f>[1]Database!$N$162</f>
        <v>212.31171000000001</v>
      </c>
      <c r="D86" s="99">
        <f>[1]Database!$O$162+[1]Database!$V$162</f>
        <v>219.947294</v>
      </c>
      <c r="E86" s="99">
        <f>[1]Database!$W$162</f>
        <v>-7.6355839999999997</v>
      </c>
      <c r="F86" s="99"/>
      <c r="G86" s="99">
        <f>[1]Database!$AA$162</f>
        <v>186.977149</v>
      </c>
      <c r="H86" s="99">
        <f>[1]Database!$AC$162</f>
        <v>-39.064851000000004</v>
      </c>
      <c r="I86" s="99">
        <f>[1]Database!$AK$162</f>
        <v>12.186</v>
      </c>
      <c r="J86" s="99">
        <f>[1]Database!$AN$162</f>
        <v>223.857</v>
      </c>
      <c r="K86" s="99">
        <f>[1]Database!$AQ$162</f>
        <v>-10.000999999999999</v>
      </c>
      <c r="L86" s="100">
        <f>[1]Database!$AU$162+[1]Database!$AV$162-[1]Database!$AW$162</f>
        <v>-109.70281799999998</v>
      </c>
      <c r="M86" s="45"/>
      <c r="N86" s="63" t="str">
        <f t="shared" si="81"/>
        <v>2011Q3</v>
      </c>
      <c r="O86" s="122">
        <f>[1]Database!H$162</f>
        <v>289.58604100000002</v>
      </c>
      <c r="P86" s="102">
        <f>[1]Database!I$162</f>
        <v>99.887040999999996</v>
      </c>
      <c r="Q86" s="113">
        <f>[1]Database!J$162</f>
        <v>25.747040999999999</v>
      </c>
      <c r="R86" s="113">
        <f>[1]Database!K$162</f>
        <v>74.14</v>
      </c>
      <c r="S86" s="113">
        <f>[1]Database!L$162</f>
        <v>189.69900000000001</v>
      </c>
      <c r="T86" s="115">
        <f>[1]Database!M$162</f>
        <v>0</v>
      </c>
      <c r="U86" s="154">
        <f t="shared" si="82"/>
        <v>0</v>
      </c>
    </row>
    <row r="87" spans="1:21" hidden="1" x14ac:dyDescent="0.3">
      <c r="A87" s="63" t="s">
        <v>179</v>
      </c>
      <c r="B87" s="99">
        <f>[1]Database!$H$165</f>
        <v>0</v>
      </c>
      <c r="C87" s="99">
        <f>[1]Database!$N$165</f>
        <v>0</v>
      </c>
      <c r="D87" s="99">
        <f>[1]Database!$O$165+[1]Database!$V$165</f>
        <v>16.178000000000001</v>
      </c>
      <c r="E87" s="99">
        <f>[1]Database!$W$165</f>
        <v>0</v>
      </c>
      <c r="F87" s="99"/>
      <c r="G87" s="99">
        <f>[1]Database!$AA$165</f>
        <v>0</v>
      </c>
      <c r="H87" s="99">
        <f>[1]Database!$AC$165</f>
        <v>0</v>
      </c>
      <c r="I87" s="99">
        <f>[1]Database!$AK$165</f>
        <v>0</v>
      </c>
      <c r="J87" s="99">
        <f>[1]Database!$AN$165</f>
        <v>0</v>
      </c>
      <c r="K87" s="99">
        <f>[1]Database!$AQ$165</f>
        <v>0</v>
      </c>
      <c r="L87" s="100">
        <f>[1]Database!$AU$165+[1]Database!$AV$165-[1]Database!$AW$165</f>
        <v>0</v>
      </c>
      <c r="M87" s="45"/>
      <c r="N87" s="63" t="str">
        <f t="shared" si="81"/>
        <v>2011Q4</v>
      </c>
      <c r="O87" s="122">
        <f>[1]Database!H$165</f>
        <v>0</v>
      </c>
      <c r="P87" s="102">
        <f>[1]Database!I$165</f>
        <v>0</v>
      </c>
      <c r="Q87" s="113">
        <f>[1]Database!J$165</f>
        <v>30.203451000000001</v>
      </c>
      <c r="R87" s="113">
        <f>[1]Database!K$165</f>
        <v>0</v>
      </c>
      <c r="S87" s="113">
        <f>[1]Database!L$165</f>
        <v>0</v>
      </c>
      <c r="T87" s="115">
        <f>[1]Database!M$165</f>
        <v>0</v>
      </c>
      <c r="U87" s="154">
        <f t="shared" si="82"/>
        <v>0</v>
      </c>
    </row>
    <row r="88" spans="1:21" hidden="1" x14ac:dyDescent="0.3">
      <c r="A88" s="63" t="s">
        <v>180</v>
      </c>
      <c r="B88" s="99">
        <f>[1]Database!$H$168</f>
        <v>312.97563278000001</v>
      </c>
      <c r="C88" s="99">
        <f>[1]Database!$N$168</f>
        <v>226.26283892000004</v>
      </c>
      <c r="D88" s="99">
        <f>[1]Database!$O$168+[1]Database!$V$168</f>
        <v>256.25410120000004</v>
      </c>
      <c r="E88" s="99">
        <f>[1]Database!$W$168</f>
        <v>-29.991262279999994</v>
      </c>
      <c r="F88" s="99"/>
      <c r="G88" s="99">
        <f>[1]Database!$AA$168</f>
        <v>199.81731072749994</v>
      </c>
      <c r="H88" s="99">
        <f>[1]Database!$AC$168</f>
        <v>-68.899033087500058</v>
      </c>
      <c r="I88" s="99">
        <f>[1]Database!$AK$168</f>
        <v>13.627000000000001</v>
      </c>
      <c r="J88" s="99">
        <f>[1]Database!$AN$168</f>
        <v>248.825343815</v>
      </c>
      <c r="K88" s="99">
        <f>[1]Database!$AQ$168</f>
        <v>6.2640000000000002</v>
      </c>
      <c r="L88" s="100">
        <f>[1]Database!$AU$168+[1]Database!$AV$168-[1]Database!$AW$168</f>
        <v>-113.10451686750025</v>
      </c>
      <c r="M88" s="45"/>
      <c r="N88" s="63" t="str">
        <f t="shared" ref="N88:N95" si="83">A88</f>
        <v>2012Q1</v>
      </c>
      <c r="O88" s="122">
        <f>[1]Database!H$168</f>
        <v>312.97563278000001</v>
      </c>
      <c r="P88" s="102">
        <f>[1]Database!I$168</f>
        <v>116.38163278</v>
      </c>
      <c r="Q88" s="113">
        <f>[1]Database!J$168</f>
        <v>26.844632780000001</v>
      </c>
      <c r="R88" s="113">
        <f>[1]Database!K$168</f>
        <v>89.537000000000006</v>
      </c>
      <c r="S88" s="113">
        <f>[1]Database!L$168</f>
        <v>196.44200000000001</v>
      </c>
      <c r="T88" s="115">
        <f>[1]Database!M$168</f>
        <v>0.152</v>
      </c>
      <c r="U88" s="154">
        <f t="shared" ref="U88:U95" si="84">O88-C88-G88-L88</f>
        <v>2.8421709430404007E-13</v>
      </c>
    </row>
    <row r="89" spans="1:21" hidden="1" x14ac:dyDescent="0.3">
      <c r="A89" s="63" t="s">
        <v>181</v>
      </c>
      <c r="B89" s="99">
        <f>[1]Database!$H$171</f>
        <v>327.02711987999999</v>
      </c>
      <c r="C89" s="99">
        <f>[1]Database!$N$171</f>
        <v>240.23955927</v>
      </c>
      <c r="D89" s="99">
        <f>[1]Database!$O$171+[1]Database!$V$171</f>
        <v>267.30190730999999</v>
      </c>
      <c r="E89" s="99">
        <f>[1]Database!$W$171</f>
        <v>-27.062348039999996</v>
      </c>
      <c r="F89" s="99"/>
      <c r="G89" s="99">
        <f>[1]Database!$AA$171</f>
        <v>209.09680775249998</v>
      </c>
      <c r="H89" s="99">
        <f>[1]Database!$AC$171</f>
        <v>-58.898642422500025</v>
      </c>
      <c r="I89" s="99">
        <f>[1]Database!$AK$171</f>
        <v>13.728</v>
      </c>
      <c r="J89" s="99">
        <f>[1]Database!$AN$171</f>
        <v>247.93745017500001</v>
      </c>
      <c r="K89" s="99">
        <f>[1]Database!$AQ$171</f>
        <v>6.33</v>
      </c>
      <c r="L89" s="100">
        <f>[1]Database!$AU$171+[1]Database!$AV$171-[1]Database!$AW$171</f>
        <v>-122.30924714250013</v>
      </c>
      <c r="M89" s="45"/>
      <c r="N89" s="63" t="str">
        <f t="shared" si="83"/>
        <v>2012Q2</v>
      </c>
      <c r="O89" s="122">
        <f>[1]Database!H$171</f>
        <v>327.02711987999999</v>
      </c>
      <c r="P89" s="102">
        <f>[1]Database!I$171</f>
        <v>129.04211988</v>
      </c>
      <c r="Q89" s="113">
        <f>[1]Database!J$171</f>
        <v>32.476119879999999</v>
      </c>
      <c r="R89" s="113">
        <f>[1]Database!K$171</f>
        <v>96.566000000000003</v>
      </c>
      <c r="S89" s="113">
        <f>[1]Database!L$171</f>
        <v>197.833</v>
      </c>
      <c r="T89" s="115">
        <f>[1]Database!M$171</f>
        <v>0.152</v>
      </c>
      <c r="U89" s="154">
        <f t="shared" si="84"/>
        <v>1.2789769243681803E-13</v>
      </c>
    </row>
    <row r="90" spans="1:21" hidden="1" x14ac:dyDescent="0.3">
      <c r="A90" s="63" t="s">
        <v>182</v>
      </c>
      <c r="B90" s="99">
        <f>[1]Database!$H$174</f>
        <v>334.29415564999999</v>
      </c>
      <c r="C90" s="99">
        <f>[1]Database!$N$174</f>
        <v>242.11020485</v>
      </c>
      <c r="D90" s="99">
        <f>[1]Database!$O$174+[1]Database!$V$174</f>
        <v>265.15749564999999</v>
      </c>
      <c r="E90" s="99">
        <f>[1]Database!$W$174</f>
        <v>-23.047290799999992</v>
      </c>
      <c r="F90" s="99"/>
      <c r="G90" s="99">
        <f>[1]Database!$AA$174</f>
        <v>215.45095697499994</v>
      </c>
      <c r="H90" s="99">
        <f>[1]Database!$AC$174</f>
        <v>-48.768728105000029</v>
      </c>
      <c r="I90" s="99">
        <f>[1]Database!$AK$174</f>
        <v>13.689</v>
      </c>
      <c r="J90" s="99">
        <f>[1]Database!$AN$174</f>
        <v>244.47768507999999</v>
      </c>
      <c r="K90" s="99">
        <f>[1]Database!$AQ$174</f>
        <v>6.0529999999999999</v>
      </c>
      <c r="L90" s="100">
        <f>[1]Database!$AU$174+[1]Database!$AV$174-[1]Database!$AW$174</f>
        <v>-123.26700617500026</v>
      </c>
      <c r="M90" s="45"/>
      <c r="N90" s="63" t="str">
        <f t="shared" si="83"/>
        <v>2012Q3</v>
      </c>
      <c r="O90" s="122">
        <f>[1]Database!H$174</f>
        <v>334.29415564999999</v>
      </c>
      <c r="P90" s="102">
        <f>[1]Database!I$174</f>
        <v>134.53715565000002</v>
      </c>
      <c r="Q90" s="113">
        <f>[1]Database!J$174</f>
        <v>31.251155650000008</v>
      </c>
      <c r="R90" s="113">
        <f>[1]Database!K$174</f>
        <v>103.286</v>
      </c>
      <c r="S90" s="113">
        <f>[1]Database!L$174</f>
        <v>199.61199999999999</v>
      </c>
      <c r="T90" s="115">
        <f>[1]Database!M$174</f>
        <v>0.14499999999999999</v>
      </c>
      <c r="U90" s="154">
        <f t="shared" si="84"/>
        <v>3.1263880373444408E-13</v>
      </c>
    </row>
    <row r="91" spans="1:21" hidden="1" x14ac:dyDescent="0.3">
      <c r="A91" s="63" t="s">
        <v>183</v>
      </c>
      <c r="B91" s="99">
        <f>[1]Database!$H$177</f>
        <v>345.03208131999997</v>
      </c>
      <c r="C91" s="99">
        <f>[1]Database!$N$177</f>
        <v>254.69800087000002</v>
      </c>
      <c r="D91" s="99">
        <f>[1]Database!$O$177+[1]Database!$V$177</f>
        <v>276.52196442000002</v>
      </c>
      <c r="E91" s="99">
        <f>[1]Database!$W$177</f>
        <v>-21.823963549999995</v>
      </c>
      <c r="F91" s="99"/>
      <c r="G91" s="99">
        <f>[1]Database!$AA$177</f>
        <v>212.33009208499996</v>
      </c>
      <c r="H91" s="99">
        <f>[1]Database!$AC$177</f>
        <v>-47.021115495000032</v>
      </c>
      <c r="I91" s="99">
        <f>[1]Database!$AK$177</f>
        <v>14.641999999999999</v>
      </c>
      <c r="J91" s="99">
        <f>[1]Database!$AN$177</f>
        <v>238.36420758</v>
      </c>
      <c r="K91" s="99">
        <f>[1]Database!$AQ$177</f>
        <v>6.3449999999999998</v>
      </c>
      <c r="L91" s="100">
        <f>[1]Database!$AU$177+[1]Database!$AV$177-[1]Database!$AW$177</f>
        <v>-121.99601163500036</v>
      </c>
      <c r="M91" s="45"/>
      <c r="N91" s="63" t="str">
        <f t="shared" si="83"/>
        <v>2012Q4</v>
      </c>
      <c r="O91" s="122">
        <f>[1]Database!H$177</f>
        <v>345.03208131999997</v>
      </c>
      <c r="P91" s="102">
        <f>[1]Database!I$177</f>
        <v>146.01708131999999</v>
      </c>
      <c r="Q91" s="113">
        <f>[1]Database!J$177</f>
        <v>33.166081320000004</v>
      </c>
      <c r="R91" s="113">
        <f>[1]Database!K$177</f>
        <v>112.851</v>
      </c>
      <c r="S91" s="113">
        <f>[1]Database!L$177</f>
        <v>198.91</v>
      </c>
      <c r="T91" s="115">
        <f>[1]Database!M$177</f>
        <v>0.105</v>
      </c>
      <c r="U91" s="154">
        <f t="shared" si="84"/>
        <v>3.5527136788005009E-13</v>
      </c>
    </row>
    <row r="92" spans="1:21" hidden="1" x14ac:dyDescent="0.3">
      <c r="A92" s="63" t="s">
        <v>184</v>
      </c>
      <c r="B92" s="99">
        <f>[1]Database!$H$180</f>
        <v>334.83896240000001</v>
      </c>
      <c r="C92" s="99">
        <f>[1]Database!$N$180</f>
        <v>242.93893159000004</v>
      </c>
      <c r="D92" s="99">
        <f>[1]Database!$O$180+[1]Database!$V$180</f>
        <v>265.48455540000003</v>
      </c>
      <c r="E92" s="99">
        <f>[1]Database!$W$180</f>
        <v>-22.545623809999988</v>
      </c>
      <c r="F92" s="99"/>
      <c r="G92" s="99">
        <f>[1]Database!$AA$180</f>
        <v>216.75070899999992</v>
      </c>
      <c r="H92" s="99">
        <f>[1]Database!$AC$180</f>
        <v>-41.587237480000049</v>
      </c>
      <c r="I92" s="99">
        <f>[1]Database!$AK$180</f>
        <v>15.333</v>
      </c>
      <c r="J92" s="99">
        <f>[1]Database!$AN$180</f>
        <v>235.72194647999999</v>
      </c>
      <c r="K92" s="99">
        <f>[1]Database!$AQ$180</f>
        <v>7.2830000000000004</v>
      </c>
      <c r="L92" s="100">
        <f>[1]Database!$AU$180+[1]Database!$AV$180-[1]Database!$AW$180</f>
        <v>-124.85067819000039</v>
      </c>
      <c r="M92" s="45"/>
      <c r="N92" s="63" t="str">
        <f t="shared" si="83"/>
        <v>2013Q1</v>
      </c>
      <c r="O92" s="122">
        <f>[1]Database!H$180</f>
        <v>334.83896240000001</v>
      </c>
      <c r="P92" s="102">
        <f>[1]Database!I$180</f>
        <v>138.96096240000003</v>
      </c>
      <c r="Q92" s="113">
        <f>[1]Database!J$180</f>
        <v>28.537962400000012</v>
      </c>
      <c r="R92" s="113">
        <f>[1]Database!K$180</f>
        <v>110.423</v>
      </c>
      <c r="S92" s="113">
        <f>[1]Database!L$180</f>
        <v>195.774</v>
      </c>
      <c r="T92" s="115">
        <f>[1]Database!M$180</f>
        <v>0.104</v>
      </c>
      <c r="U92" s="154">
        <f t="shared" si="84"/>
        <v>4.5474735088646412E-13</v>
      </c>
    </row>
    <row r="93" spans="1:21" hidden="1" x14ac:dyDescent="0.3">
      <c r="A93" s="63" t="s">
        <v>185</v>
      </c>
      <c r="B93" s="99">
        <f>[1]Database!$H$183</f>
        <v>343.88076894999995</v>
      </c>
      <c r="C93" s="99">
        <f>[1]Database!$N$183</f>
        <v>252.56828319000016</v>
      </c>
      <c r="D93" s="99">
        <f>[1]Database!$O$183+[1]Database!$V$183</f>
        <v>277.64880176000014</v>
      </c>
      <c r="E93" s="99">
        <f>[1]Database!$W$183</f>
        <v>-25.080518569999992</v>
      </c>
      <c r="F93" s="99"/>
      <c r="G93" s="99">
        <f>[1]Database!$AA$183</f>
        <v>214.31442345249994</v>
      </c>
      <c r="H93" s="99">
        <f>[1]Database!$AC$183</f>
        <v>-44.368438792500044</v>
      </c>
      <c r="I93" s="99">
        <f>[1]Database!$AK$183</f>
        <v>16.774999999999999</v>
      </c>
      <c r="J93" s="99">
        <f>[1]Database!$AN$183</f>
        <v>229.31886224499999</v>
      </c>
      <c r="K93" s="99">
        <f>[1]Database!$AQ$183</f>
        <v>12.589</v>
      </c>
      <c r="L93" s="100">
        <f>[1]Database!$AU$183+[1]Database!$AV$183-[1]Database!$AW$183</f>
        <v>-123.00193769250038</v>
      </c>
      <c r="M93" s="45"/>
      <c r="N93" s="63" t="str">
        <f t="shared" si="83"/>
        <v>2013Q2</v>
      </c>
      <c r="O93" s="122">
        <f>[1]Database!H$183</f>
        <v>343.88076894999995</v>
      </c>
      <c r="P93" s="102">
        <f>[1]Database!I$183</f>
        <v>155.54476894999999</v>
      </c>
      <c r="Q93" s="113">
        <f>[1]Database!J$183</f>
        <v>32.061768950000001</v>
      </c>
      <c r="R93" s="113">
        <f>[1]Database!K$183</f>
        <v>123.483</v>
      </c>
      <c r="S93" s="113">
        <f>[1]Database!L$183</f>
        <v>188.23400000000001</v>
      </c>
      <c r="T93" s="115">
        <f>[1]Database!M$183</f>
        <v>0.10199999999999999</v>
      </c>
      <c r="U93" s="154">
        <f t="shared" si="84"/>
        <v>2.2737367544323206E-13</v>
      </c>
    </row>
    <row r="94" spans="1:21" hidden="1" x14ac:dyDescent="0.3">
      <c r="A94" s="63" t="s">
        <v>186</v>
      </c>
      <c r="B94" s="99">
        <f>[1]Database!$H$186</f>
        <v>345.80809873999999</v>
      </c>
      <c r="C94" s="99">
        <f>[1]Database!$N$186</f>
        <v>253.27254660000006</v>
      </c>
      <c r="D94" s="99">
        <f>[1]Database!$O$186+[1]Database!$V$186</f>
        <v>278.33322322000004</v>
      </c>
      <c r="E94" s="99">
        <f>[1]Database!$W$186</f>
        <v>-25.060676619999995</v>
      </c>
      <c r="F94" s="99"/>
      <c r="G94" s="99">
        <f>[1]Database!$AA$186</f>
        <v>221.49315685499994</v>
      </c>
      <c r="H94" s="99">
        <f>[1]Database!$AC$186</f>
        <v>-38.786493415000045</v>
      </c>
      <c r="I94" s="99">
        <f>[1]Database!$AK$186</f>
        <v>18.670999999999999</v>
      </c>
      <c r="J94" s="99">
        <f>[1]Database!$AN$186</f>
        <v>229.01965027</v>
      </c>
      <c r="K94" s="99">
        <f>[1]Database!$AQ$186</f>
        <v>12.589</v>
      </c>
      <c r="L94" s="100">
        <f>[1]Database!$AU$186+[1]Database!$AV$186-[1]Database!$AW$186</f>
        <v>-128.95760471500051</v>
      </c>
      <c r="M94" s="45"/>
      <c r="N94" s="63" t="str">
        <f t="shared" si="83"/>
        <v>2013Q3</v>
      </c>
      <c r="O94" s="122">
        <f>[1]Database!H$186</f>
        <v>345.80809873999999</v>
      </c>
      <c r="P94" s="102">
        <f>[1]Database!I$186</f>
        <v>161.33309874</v>
      </c>
      <c r="Q94" s="113">
        <f>[1]Database!J$186</f>
        <v>31.357098740000001</v>
      </c>
      <c r="R94" s="113">
        <f>[1]Database!K$186</f>
        <v>129.976</v>
      </c>
      <c r="S94" s="113">
        <f>[1]Database!L$186</f>
        <v>184.37299999999999</v>
      </c>
      <c r="T94" s="115">
        <f>[1]Database!M$186</f>
        <v>0.10199999999999999</v>
      </c>
      <c r="U94" s="154">
        <f t="shared" si="84"/>
        <v>5.1159076974727213E-13</v>
      </c>
    </row>
    <row r="95" spans="1:21" hidden="1" x14ac:dyDescent="0.3">
      <c r="A95" s="63" t="s">
        <v>187</v>
      </c>
      <c r="B95" s="99">
        <f>[1]Database!$H$189</f>
        <v>355.83057172000002</v>
      </c>
      <c r="C95" s="99">
        <f>[1]Database!$N$189</f>
        <v>261.74014177000009</v>
      </c>
      <c r="D95" s="99">
        <f>[1]Database!$O$189+[1]Database!$V$189</f>
        <v>293.0753551200001</v>
      </c>
      <c r="E95" s="99">
        <f>[1]Database!$W$189</f>
        <v>-31.335213349999989</v>
      </c>
      <c r="F95" s="99"/>
      <c r="G95" s="99">
        <f>[1]Database!$AA$189</f>
        <v>219.23258969749998</v>
      </c>
      <c r="H95" s="99">
        <f>[1]Database!$AC$189</f>
        <v>-56.580976627500036</v>
      </c>
      <c r="I95" s="99">
        <f>[1]Database!$AK$189</f>
        <v>35.506999999999998</v>
      </c>
      <c r="J95" s="99">
        <f>[1]Database!$AN$189</f>
        <v>227.85756632499999</v>
      </c>
      <c r="K95" s="99">
        <f>[1]Database!$AQ$189</f>
        <v>12.449</v>
      </c>
      <c r="L95" s="100">
        <f>[1]Database!$AU$189+[1]Database!$AV$189-[1]Database!$AW$189</f>
        <v>-125.14215974750043</v>
      </c>
      <c r="M95" s="45"/>
      <c r="N95" s="63" t="str">
        <f t="shared" si="83"/>
        <v>2013Q4</v>
      </c>
      <c r="O95" s="122">
        <f>[1]Database!H$189</f>
        <v>355.83057172000002</v>
      </c>
      <c r="P95" s="102">
        <f>[1]Database!I$189</f>
        <v>171.66357171999999</v>
      </c>
      <c r="Q95" s="113">
        <f>[1]Database!J$189</f>
        <v>37.03557172</v>
      </c>
      <c r="R95" s="113">
        <f>[1]Database!K$189</f>
        <v>134.62799999999999</v>
      </c>
      <c r="S95" s="113">
        <f>[1]Database!L$189</f>
        <v>184.06700000000001</v>
      </c>
      <c r="T95" s="115">
        <f>[1]Database!M$189</f>
        <v>0.1</v>
      </c>
      <c r="U95" s="154">
        <f t="shared" si="84"/>
        <v>3.836930773104541E-13</v>
      </c>
    </row>
    <row r="96" spans="1:21" x14ac:dyDescent="0.3">
      <c r="A96" s="63" t="s">
        <v>138</v>
      </c>
      <c r="B96" s="99">
        <f>[1]Database!$H$192</f>
        <v>354.47759518000004</v>
      </c>
      <c r="C96" s="99">
        <f>[1]Database!$N$192</f>
        <v>264.96271767000007</v>
      </c>
      <c r="D96" s="99">
        <f>[1]Database!$O$192+[1]Database!$V$192</f>
        <v>295.36746758000004</v>
      </c>
      <c r="E96" s="99">
        <f>[1]Database!$W$192</f>
        <v>-30.404749909999992</v>
      </c>
      <c r="F96" s="99"/>
      <c r="G96" s="99">
        <f>[1]Database!$AA$192</f>
        <v>224.62107740999994</v>
      </c>
      <c r="H96" s="99">
        <f>[1]Database!$AC$192</f>
        <v>-57.35267996000006</v>
      </c>
      <c r="I96" s="99">
        <f>[1]Database!$AK$192</f>
        <v>40.57</v>
      </c>
      <c r="J96" s="99">
        <f>[1]Database!$AN$192</f>
        <v>228.82175737</v>
      </c>
      <c r="K96" s="99">
        <f>[1]Database!$AQ$192</f>
        <v>12.582000000000001</v>
      </c>
      <c r="L96" s="100">
        <f>[1]Database!$AU$192+[1]Database!$AV$192-[1]Database!$AW$192</f>
        <v>-135.10619990000035</v>
      </c>
      <c r="M96" s="45"/>
      <c r="N96" s="63" t="str">
        <f t="shared" ref="N96:N99" si="85">A96</f>
        <v>2014Q1</v>
      </c>
      <c r="O96" s="122">
        <f>[1]Database!H$192</f>
        <v>354.47759518000004</v>
      </c>
      <c r="P96" s="102">
        <f>[1]Database!I$192</f>
        <v>168.43059518000001</v>
      </c>
      <c r="Q96" s="113">
        <f>[1]Database!J$192</f>
        <v>34.317595180000005</v>
      </c>
      <c r="R96" s="113">
        <f>[1]Database!K$192</f>
        <v>134.113</v>
      </c>
      <c r="S96" s="113">
        <f>[1]Database!L$192</f>
        <v>186.036</v>
      </c>
      <c r="T96" s="115">
        <f>[1]Database!M$192</f>
        <v>1.0999999999999999E-2</v>
      </c>
      <c r="U96" s="154">
        <f t="shared" ref="U96:U98" si="86">O96-C96-G96-L96</f>
        <v>3.694822225952521E-13</v>
      </c>
    </row>
    <row r="97" spans="1:21" x14ac:dyDescent="0.3">
      <c r="A97" s="63" t="s">
        <v>137</v>
      </c>
      <c r="B97" s="99">
        <f>[1]Database!$H$195</f>
        <v>368.86485676000001</v>
      </c>
      <c r="C97" s="99">
        <f>[1]Database!$N$195</f>
        <v>268.50782915999997</v>
      </c>
      <c r="D97" s="99">
        <f>[1]Database!$O$195+[1]Database!$V$195</f>
        <v>299.73880144999998</v>
      </c>
      <c r="E97" s="99">
        <f>[1]Database!$W$195</f>
        <v>-31.23097228999999</v>
      </c>
      <c r="F97" s="99"/>
      <c r="G97" s="99">
        <f>[1]Database!$AA$195</f>
        <v>231.08499116749985</v>
      </c>
      <c r="H97" s="99">
        <f>[1]Database!$AC$195</f>
        <v>-54.448931187500136</v>
      </c>
      <c r="I97" s="99">
        <f>[1]Database!$AK$195</f>
        <v>41.673000000000002</v>
      </c>
      <c r="J97" s="99">
        <f>[1]Database!$AN$195</f>
        <v>230.87292235499999</v>
      </c>
      <c r="K97" s="99">
        <f>[1]Database!$AQ$195</f>
        <v>12.988</v>
      </c>
      <c r="L97" s="100">
        <f>[1]Database!$AU$195+[1]Database!$AV$195-[1]Database!$AW$195</f>
        <v>-130.72796356750038</v>
      </c>
      <c r="M97" s="45"/>
      <c r="N97" s="63" t="str">
        <f t="shared" si="85"/>
        <v>2014Q2</v>
      </c>
      <c r="O97" s="122">
        <f>[1]Database!H$195</f>
        <v>368.86485676000001</v>
      </c>
      <c r="P97" s="102">
        <f>[1]Database!I$195</f>
        <v>176.00485676</v>
      </c>
      <c r="Q97" s="113">
        <f>[1]Database!J$195</f>
        <v>38.916856760000002</v>
      </c>
      <c r="R97" s="113">
        <f>[1]Database!K$195</f>
        <v>137.08799999999999</v>
      </c>
      <c r="S97" s="113">
        <f>[1]Database!L$195</f>
        <v>192.84899999999999</v>
      </c>
      <c r="T97" s="115">
        <f>[1]Database!M$195</f>
        <v>1.0999999999999999E-2</v>
      </c>
      <c r="U97" s="154">
        <f t="shared" si="86"/>
        <v>5.6843418860808015E-13</v>
      </c>
    </row>
    <row r="98" spans="1:21" x14ac:dyDescent="0.3">
      <c r="A98" s="63" t="s">
        <v>136</v>
      </c>
      <c r="B98" s="99">
        <f>[1]Database!$H$198</f>
        <v>373.16265371000003</v>
      </c>
      <c r="C98" s="99">
        <f>[1]Database!$N$198</f>
        <v>268.87559090999991</v>
      </c>
      <c r="D98" s="99">
        <f>[1]Database!$O$198+[1]Database!$V$198</f>
        <v>300.47157773999993</v>
      </c>
      <c r="E98" s="99">
        <f>[1]Database!$W$198</f>
        <v>-31.595986829999987</v>
      </c>
      <c r="F98" s="99"/>
      <c r="G98" s="99">
        <f>[1]Database!$AA$198</f>
        <v>235.54551581999988</v>
      </c>
      <c r="H98" s="99">
        <f>[1]Database!$AC$198</f>
        <v>-49.362538480000126</v>
      </c>
      <c r="I98" s="99">
        <f>[1]Database!$AK$198</f>
        <v>41.45</v>
      </c>
      <c r="J98" s="99">
        <f>[1]Database!$AN$198</f>
        <v>230.49905429999998</v>
      </c>
      <c r="K98" s="99">
        <f>[1]Database!$AQ$198</f>
        <v>12.959</v>
      </c>
      <c r="L98" s="100">
        <f>[1]Database!$AU$198+[1]Database!$AV$198-[1]Database!$AW$198</f>
        <v>-131.25845302000042</v>
      </c>
      <c r="M98" s="45"/>
      <c r="N98" s="63" t="str">
        <f t="shared" si="85"/>
        <v>2014Q3</v>
      </c>
      <c r="O98" s="122">
        <f>[1]Database!H$198</f>
        <v>373.16265371000003</v>
      </c>
      <c r="P98" s="102">
        <f>[1]Database!I$198</f>
        <v>174.39965371</v>
      </c>
      <c r="Q98" s="113">
        <f>[1]Database!J$198</f>
        <v>35.062653709999999</v>
      </c>
      <c r="R98" s="113">
        <f>[1]Database!K$198</f>
        <v>139.33699999999999</v>
      </c>
      <c r="S98" s="113">
        <f>[1]Database!L$198</f>
        <v>198.75200000000001</v>
      </c>
      <c r="T98" s="115">
        <f>[1]Database!M$198</f>
        <v>1.0999999999999999E-2</v>
      </c>
      <c r="U98" s="154">
        <f t="shared" si="86"/>
        <v>6.5369931689929217E-13</v>
      </c>
    </row>
    <row r="99" spans="1:21" x14ac:dyDescent="0.3">
      <c r="A99" s="63" t="s">
        <v>139</v>
      </c>
      <c r="B99" s="99">
        <f>[1]Database!$H$201</f>
        <v>387.47510558000005</v>
      </c>
      <c r="C99" s="99">
        <f>[1]Database!$N$201</f>
        <v>288.1936365900001</v>
      </c>
      <c r="D99" s="99">
        <f>[1]Database!$O$201+[1]Database!$V$201</f>
        <v>318.33370639000009</v>
      </c>
      <c r="E99" s="99">
        <f>[1]Database!$W$201</f>
        <v>-30.140069799999985</v>
      </c>
      <c r="F99" s="99"/>
      <c r="G99" s="99">
        <f>[1]Database!$AA$201</f>
        <v>235.40502767749987</v>
      </c>
      <c r="H99" s="99">
        <f>[1]Database!$AC$201</f>
        <v>-60.374535997500146</v>
      </c>
      <c r="I99" s="99">
        <f>[1]Database!$AK$201</f>
        <v>43.558</v>
      </c>
      <c r="J99" s="99">
        <f>[1]Database!$AN$201</f>
        <v>238.05256367500002</v>
      </c>
      <c r="K99" s="99">
        <f>[1]Database!$AQ$201</f>
        <v>14.169</v>
      </c>
      <c r="L99" s="100">
        <f>[1]Database!$AU$201+[1]Database!$AV$201-[1]Database!$AW$201</f>
        <v>-136.12355868750089</v>
      </c>
      <c r="M99" s="45"/>
      <c r="N99" s="63" t="str">
        <f t="shared" si="85"/>
        <v>2014Q4</v>
      </c>
      <c r="O99" s="122">
        <f>[1]Database!H$201</f>
        <v>387.47510558000005</v>
      </c>
      <c r="P99" s="102">
        <f>[1]Database!I$201</f>
        <v>185.92010558000001</v>
      </c>
      <c r="Q99" s="113">
        <f>[1]Database!J$201</f>
        <v>44.069105580000006</v>
      </c>
      <c r="R99" s="113">
        <f>[1]Database!K$201</f>
        <v>141.851</v>
      </c>
      <c r="S99" s="113">
        <f>[1]Database!L$201</f>
        <v>201.54400000000001</v>
      </c>
      <c r="T99" s="115">
        <f>[1]Database!M$201</f>
        <v>1.0999999999999999E-2</v>
      </c>
      <c r="U99" s="154">
        <f>O99-C99-G99-L99</f>
        <v>9.6633812063373625E-13</v>
      </c>
    </row>
    <row r="100" spans="1:21" x14ac:dyDescent="0.3">
      <c r="A100" s="63" t="s">
        <v>135</v>
      </c>
      <c r="B100" s="99">
        <f>[1]Database!$H$204</f>
        <v>379.58821431000007</v>
      </c>
      <c r="C100" s="99">
        <f>[1]Database!$N$204</f>
        <v>265.98894236000012</v>
      </c>
      <c r="D100" s="99">
        <f>[1]Database!$O$204+[1]Database!$V$204</f>
        <v>296.09608371000013</v>
      </c>
      <c r="E100" s="99">
        <f>[1]Database!$W$204</f>
        <v>-30.107141349999985</v>
      </c>
      <c r="F100" s="99"/>
      <c r="G100" s="99">
        <f>[1]Database!$AA$204</f>
        <v>259.43908678999981</v>
      </c>
      <c r="H100" s="99">
        <f>[1]Database!$AC$204</f>
        <v>-50.84499144000015</v>
      </c>
      <c r="I100" s="99">
        <f>[1]Database!$AK$204</f>
        <v>46.764000000000003</v>
      </c>
      <c r="J100" s="99">
        <f>[1]Database!$AN$204</f>
        <v>245.92807822999998</v>
      </c>
      <c r="K100" s="99">
        <f>[1]Database!$AQ$204</f>
        <v>17.591999999999999</v>
      </c>
      <c r="L100" s="100">
        <f>[1]Database!$AU$204+[1]Database!$AV$204-[1]Database!$AW$204</f>
        <v>-145.839814840001</v>
      </c>
      <c r="M100" s="45"/>
      <c r="N100" s="63" t="str">
        <f t="shared" ref="N100:N103" si="87">A100</f>
        <v>2015Q1</v>
      </c>
      <c r="O100" s="122">
        <f>[1]Database!H$204</f>
        <v>379.58821431000007</v>
      </c>
      <c r="P100" s="102">
        <f>[1]Database!I$204</f>
        <v>174.25821431000003</v>
      </c>
      <c r="Q100" s="113">
        <f>[1]Database!J$204</f>
        <v>39.751214310000009</v>
      </c>
      <c r="R100" s="113">
        <f>[1]Database!K$204</f>
        <v>134.50700000000001</v>
      </c>
      <c r="S100" s="113">
        <f>[1]Database!L$204</f>
        <v>205.31899999999999</v>
      </c>
      <c r="T100" s="115">
        <f>[1]Database!M$204</f>
        <v>1.0999999999999999E-2</v>
      </c>
      <c r="U100" s="154">
        <f>O100-C100-G100-L100</f>
        <v>1.1368683772161603E-12</v>
      </c>
    </row>
    <row r="101" spans="1:21" x14ac:dyDescent="0.3">
      <c r="A101" s="63" t="s">
        <v>132</v>
      </c>
      <c r="B101" s="99">
        <f>[1]Database!$H$207</f>
        <v>403.33598521000005</v>
      </c>
      <c r="C101" s="99">
        <f>[1]Database!$N$207</f>
        <v>283.20636147000005</v>
      </c>
      <c r="D101" s="99">
        <f>[1]Database!$O$207+[1]Database!$V$207</f>
        <v>316.65854572000001</v>
      </c>
      <c r="E101" s="99">
        <f>[1]Database!$W$207</f>
        <v>-33.452184249999988</v>
      </c>
      <c r="F101" s="99"/>
      <c r="G101" s="99">
        <f>[1]Database!$AA$207</f>
        <v>266.82285441999983</v>
      </c>
      <c r="H101" s="99">
        <f>[1]Database!$AC$207</f>
        <v>-49.978238160000188</v>
      </c>
      <c r="I101" s="99">
        <f>[1]Database!$AK$207</f>
        <v>47.517000000000003</v>
      </c>
      <c r="J101" s="99">
        <f>[1]Database!$AN$207</f>
        <v>250.70409258000001</v>
      </c>
      <c r="K101" s="99">
        <f>[1]Database!$AQ$207</f>
        <v>18.579999999999998</v>
      </c>
      <c r="L101" s="100">
        <f>[1]Database!$AU$207+[1]Database!$AV$207-[1]Database!$AW$207</f>
        <v>-146.69323068000134</v>
      </c>
      <c r="M101" s="45"/>
      <c r="N101" s="63" t="str">
        <f t="shared" si="87"/>
        <v>2015Q2</v>
      </c>
      <c r="O101" s="122">
        <f>[1]Database!H$207</f>
        <v>403.33598521000005</v>
      </c>
      <c r="P101" s="102">
        <f>[1]Database!I$207</f>
        <v>193.69998520999999</v>
      </c>
      <c r="Q101" s="113">
        <f>[1]Database!J$207</f>
        <v>45.022985210000002</v>
      </c>
      <c r="R101" s="113">
        <f>[1]Database!K$207</f>
        <v>148.67699999999999</v>
      </c>
      <c r="S101" s="113">
        <f>[1]Database!L$207</f>
        <v>209.625</v>
      </c>
      <c r="T101" s="115">
        <f>[1]Database!M$207</f>
        <v>1.0999999999999999E-2</v>
      </c>
      <c r="U101" s="154">
        <f>O101-C101-G101-L101</f>
        <v>1.5063505998114124E-12</v>
      </c>
    </row>
    <row r="102" spans="1:21" x14ac:dyDescent="0.3">
      <c r="A102" s="63" t="s">
        <v>133</v>
      </c>
      <c r="B102" s="99">
        <f>[1]Database!$H$210</f>
        <v>422.31574307</v>
      </c>
      <c r="C102" s="99">
        <f>[1]Database!$N$210</f>
        <v>300.05389786000001</v>
      </c>
      <c r="D102" s="99">
        <f>[1]Database!$O$210+[1]Database!$V$210</f>
        <v>335.70437304000001</v>
      </c>
      <c r="E102" s="99">
        <f>[1]Database!$W$210</f>
        <v>-35.650475179999987</v>
      </c>
      <c r="F102" s="99"/>
      <c r="G102" s="99">
        <f>[1]Database!$AA$210</f>
        <v>277.01871515249979</v>
      </c>
      <c r="H102" s="99">
        <f>[1]Database!$AC$210</f>
        <v>-48.832451522500193</v>
      </c>
      <c r="I102" s="99">
        <f>[1]Database!$AK$210</f>
        <v>46.345999999999997</v>
      </c>
      <c r="J102" s="99">
        <f>[1]Database!$AN$210</f>
        <v>264.45316667499998</v>
      </c>
      <c r="K102" s="99">
        <f>[1]Database!$AQ$210</f>
        <v>15.052</v>
      </c>
      <c r="L102" s="100">
        <f>[1]Database!$AU$210+[1]Database!$AV$210-[1]Database!$AW$210</f>
        <v>-154.75686994250142</v>
      </c>
      <c r="M102" s="45"/>
      <c r="N102" s="63" t="str">
        <f t="shared" si="87"/>
        <v>2015Q3</v>
      </c>
      <c r="O102" s="122">
        <f>[1]Database!H$210</f>
        <v>422.31574307</v>
      </c>
      <c r="P102" s="102">
        <f>[1]Database!I$210</f>
        <v>202.33674307000001</v>
      </c>
      <c r="Q102" s="113">
        <f>[1]Database!J$210</f>
        <v>42.488743070000005</v>
      </c>
      <c r="R102" s="113">
        <f>[1]Database!K$210</f>
        <v>159.84800000000001</v>
      </c>
      <c r="S102" s="113">
        <f>[1]Database!L$210</f>
        <v>219.96799999999999</v>
      </c>
      <c r="T102" s="115">
        <f>[1]Database!M$210</f>
        <v>1.0999999999999999E-2</v>
      </c>
      <c r="U102" s="154">
        <f>O102-C102-G102-L102</f>
        <v>1.6200374375330284E-12</v>
      </c>
    </row>
    <row r="103" spans="1:21" x14ac:dyDescent="0.3">
      <c r="A103" s="63" t="s">
        <v>134</v>
      </c>
      <c r="B103" s="99">
        <f>[1]Database!$H$213</f>
        <v>450.19580541999994</v>
      </c>
      <c r="C103" s="99">
        <f>[1]Database!$N$213</f>
        <v>327.17715810999999</v>
      </c>
      <c r="D103" s="99">
        <f>[1]Database!$O$213+[1]Database!$V$213</f>
        <v>361.45181752999997</v>
      </c>
      <c r="E103" s="99">
        <f>[1]Database!$W$213</f>
        <v>-34.274659419999992</v>
      </c>
      <c r="F103" s="99"/>
      <c r="G103" s="99">
        <f>[1]Database!$AA$213</f>
        <v>283.60468065999981</v>
      </c>
      <c r="H103" s="99">
        <f>[1]Database!$AC$213</f>
        <v>-52.371937050000227</v>
      </c>
      <c r="I103" s="99">
        <f>[1]Database!$AK$213</f>
        <v>45.198</v>
      </c>
      <c r="J103" s="99">
        <f>[1]Database!$AN$213</f>
        <v>274.35161771000003</v>
      </c>
      <c r="K103" s="99">
        <f>[1]Database!$AQ$213</f>
        <v>16.427</v>
      </c>
      <c r="L103" s="100">
        <f>[1]Database!$AU$213+[1]Database!$AV$213-[1]Database!$AW$213</f>
        <v>-160.58603335000149</v>
      </c>
      <c r="M103" s="45"/>
      <c r="N103" s="63" t="str">
        <f t="shared" si="87"/>
        <v>2015Q4</v>
      </c>
      <c r="O103" s="122">
        <f>[1]Database!H$213</f>
        <v>450.19580541999994</v>
      </c>
      <c r="P103" s="102">
        <f>[1]Database!I$213</f>
        <v>226.74080541999999</v>
      </c>
      <c r="Q103" s="113">
        <f>[1]Database!J$213</f>
        <v>52.832805420000007</v>
      </c>
      <c r="R103" s="113">
        <f>[1]Database!K$213</f>
        <v>173.90799999999999</v>
      </c>
      <c r="S103" s="113">
        <f>[1]Database!L$213</f>
        <v>223.45400000000001</v>
      </c>
      <c r="T103" s="115">
        <f>[1]Database!M$213</f>
        <v>1E-3</v>
      </c>
      <c r="U103" s="154">
        <f>O103-C103-G103-L103</f>
        <v>1.6200374375330284E-12</v>
      </c>
    </row>
    <row r="104" spans="1:21" x14ac:dyDescent="0.3">
      <c r="A104" s="63" t="s">
        <v>101</v>
      </c>
      <c r="B104" s="99">
        <f>[1]Database!$H$216</f>
        <v>451.64253354000004</v>
      </c>
      <c r="C104" s="99">
        <f>[1]Database!$N$216</f>
        <v>316.25506427999989</v>
      </c>
      <c r="D104" s="99">
        <f>[1]Database!$O$216+[1]Database!$V$216</f>
        <v>352.20963041999988</v>
      </c>
      <c r="E104" s="99">
        <f>[1]Database!$W$216</f>
        <v>-35.954566139999983</v>
      </c>
      <c r="F104" s="99"/>
      <c r="G104" s="99">
        <f>[1]Database!$AA$216</f>
        <v>304.95376057249979</v>
      </c>
      <c r="H104" s="99">
        <f>[1]Database!$AC$216</f>
        <v>-44.061919552500207</v>
      </c>
      <c r="I104" s="99">
        <f>[1]Database!$AK$216</f>
        <v>44.761000000000003</v>
      </c>
      <c r="J104" s="99">
        <f>[1]Database!$AN$216</f>
        <v>288.10268012500001</v>
      </c>
      <c r="K104" s="99">
        <f>[1]Database!$AQ$216</f>
        <v>16.152000000000001</v>
      </c>
      <c r="L104" s="100">
        <f>[1]Database!$AU$216+[1]Database!$AV$216-[1]Database!$AW$216</f>
        <v>-169.56629131250159</v>
      </c>
      <c r="M104" s="45"/>
      <c r="N104" s="63" t="str">
        <f>A104</f>
        <v>2016Q1</v>
      </c>
      <c r="O104" s="122">
        <f>[1]Database!H$216</f>
        <v>451.64253354000004</v>
      </c>
      <c r="P104" s="102">
        <f>[1]Database!I$216</f>
        <v>225.08153354000001</v>
      </c>
      <c r="Q104" s="113">
        <f>[1]Database!J$216</f>
        <v>48.438533540000009</v>
      </c>
      <c r="R104" s="113">
        <f>[1]Database!K$216</f>
        <v>176.643</v>
      </c>
      <c r="S104" s="113">
        <f>[1]Database!L$216</f>
        <v>226.56100000000001</v>
      </c>
      <c r="T104" s="115">
        <f>[1]Database!M$216</f>
        <v>0</v>
      </c>
      <c r="U104" s="154">
        <f t="shared" ref="U104:U107" si="88">O104-C104-G104-L104</f>
        <v>1.9610979506978765E-12</v>
      </c>
    </row>
    <row r="105" spans="1:21" x14ac:dyDescent="0.3">
      <c r="A105" s="63" t="s">
        <v>102</v>
      </c>
      <c r="B105" s="99">
        <f>[1]Database!$H$219</f>
        <v>470.54361179</v>
      </c>
      <c r="C105" s="99">
        <f>[1]Database!$N$219</f>
        <v>362.51812280000001</v>
      </c>
      <c r="D105" s="99">
        <f>[1]Database!$O$219+[1]Database!$V$219</f>
        <v>397.07299538000001</v>
      </c>
      <c r="E105" s="99">
        <f>[1]Database!$W$219</f>
        <v>-34.554872579999987</v>
      </c>
      <c r="F105" s="99"/>
      <c r="G105" s="99">
        <f>[1]Database!$AA$219</f>
        <v>288.84300398999977</v>
      </c>
      <c r="H105" s="99">
        <f>[1]Database!$AC$219</f>
        <v>-74.267640430000228</v>
      </c>
      <c r="I105" s="99">
        <f>[1]Database!$AK$219</f>
        <v>46.11</v>
      </c>
      <c r="J105" s="99">
        <f>[1]Database!$AN$219</f>
        <v>301.28164442000002</v>
      </c>
      <c r="K105" s="99">
        <f>[1]Database!$AQ$219</f>
        <v>15.718999999999999</v>
      </c>
      <c r="L105" s="100">
        <f>[1]Database!$AU$219+[1]Database!$AV$219-[1]Database!$AW$219</f>
        <v>-180.81751500000183</v>
      </c>
      <c r="M105" s="45"/>
      <c r="N105" s="63" t="str">
        <f t="shared" ref="N105:N134" si="89">A105</f>
        <v>2016Q2</v>
      </c>
      <c r="O105" s="122">
        <f>[1]Database!H$219</f>
        <v>470.54361179</v>
      </c>
      <c r="P105" s="102">
        <f>[1]Database!I$219</f>
        <v>232.73461179</v>
      </c>
      <c r="Q105" s="113">
        <f>[1]Database!J$219</f>
        <v>48.478611790000009</v>
      </c>
      <c r="R105" s="113">
        <f>[1]Database!K$219</f>
        <v>184.256</v>
      </c>
      <c r="S105" s="113">
        <f>[1]Database!L$219</f>
        <v>237.809</v>
      </c>
      <c r="T105" s="115">
        <f>[1]Database!M$219</f>
        <v>0</v>
      </c>
      <c r="U105" s="154">
        <f t="shared" si="88"/>
        <v>2.0463630789890885E-12</v>
      </c>
    </row>
    <row r="106" spans="1:21" x14ac:dyDescent="0.3">
      <c r="A106" s="63" t="s">
        <v>103</v>
      </c>
      <c r="B106" s="99">
        <f>[1]Database!$H$222</f>
        <v>496.18582248000001</v>
      </c>
      <c r="C106" s="99">
        <f>[1]Database!$N$222</f>
        <v>372.83884258000001</v>
      </c>
      <c r="D106" s="99">
        <f>[1]Database!$O$222+[1]Database!$V$222</f>
        <v>410.10981340000001</v>
      </c>
      <c r="E106" s="99">
        <f>[1]Database!$W$222</f>
        <v>-37.270970819999988</v>
      </c>
      <c r="F106" s="99"/>
      <c r="G106" s="110">
        <f>[1]Database!$AA$222</f>
        <v>307.55693549749981</v>
      </c>
      <c r="H106" s="99">
        <f>[1]Database!$AC$222</f>
        <v>-66.116034407500209</v>
      </c>
      <c r="I106" s="99">
        <f>[1]Database!$AK$222</f>
        <v>41.369</v>
      </c>
      <c r="J106" s="99">
        <f>[1]Database!$AN$222</f>
        <v>317.04496990500002</v>
      </c>
      <c r="K106" s="99">
        <f>[1]Database!$AQ$222</f>
        <v>15.259</v>
      </c>
      <c r="L106" s="100">
        <f>[1]Database!$AU$222+[1]Database!$AV$222-[1]Database!$AW$222</f>
        <v>-184.20995559750176</v>
      </c>
      <c r="M106" s="45"/>
      <c r="N106" s="63" t="str">
        <f t="shared" si="89"/>
        <v>2016Q3</v>
      </c>
      <c r="O106" s="122">
        <f>[1]Database!H$222</f>
        <v>496.18582248000001</v>
      </c>
      <c r="P106" s="102">
        <f>[1]Database!I$222</f>
        <v>235.19782248000001</v>
      </c>
      <c r="Q106" s="113">
        <f>[1]Database!J$222</f>
        <v>49.243822480000006</v>
      </c>
      <c r="R106" s="113">
        <f>[1]Database!K$222</f>
        <v>185.95400000000001</v>
      </c>
      <c r="S106" s="113">
        <f>[1]Database!L$222</f>
        <v>260.988</v>
      </c>
      <c r="T106" s="115">
        <f>[1]Database!M$222</f>
        <v>0</v>
      </c>
      <c r="U106" s="154">
        <f t="shared" si="88"/>
        <v>1.9610979506978765E-12</v>
      </c>
    </row>
    <row r="107" spans="1:21" x14ac:dyDescent="0.3">
      <c r="A107" s="63" t="s">
        <v>104</v>
      </c>
      <c r="B107" s="99">
        <f>[1]Database!$H$225</f>
        <v>512.15140653000003</v>
      </c>
      <c r="C107" s="99">
        <f>[1]Database!$N$225</f>
        <v>390.51944862000005</v>
      </c>
      <c r="D107" s="99">
        <f>[1]Database!$O$225+[1]Database!$V$225</f>
        <v>427.63785229000001</v>
      </c>
      <c r="E107" s="99">
        <f>[1]Database!$W$225</f>
        <v>-37.118403669999992</v>
      </c>
      <c r="F107" s="99"/>
      <c r="G107" s="110">
        <f>[1]Database!$AA$225</f>
        <v>304.02118145249977</v>
      </c>
      <c r="H107" s="99">
        <f>[1]Database!$AC$225</f>
        <v>-89.225764992500217</v>
      </c>
      <c r="I107" s="99">
        <f>[1]Database!$AK$225</f>
        <v>43.235999999999997</v>
      </c>
      <c r="J107" s="99">
        <f>[1]Database!$AN$225</f>
        <v>333.78894644500002</v>
      </c>
      <c r="K107" s="99">
        <f>[1]Database!$AQ$225</f>
        <v>16.222000000000001</v>
      </c>
      <c r="L107" s="100">
        <f>[1]Database!$AU$225+[1]Database!$AV$225-[1]Database!$AW$225</f>
        <v>-182.3892235425015</v>
      </c>
      <c r="M107" s="45"/>
      <c r="N107" s="63" t="str">
        <f t="shared" si="89"/>
        <v>2016Q4</v>
      </c>
      <c r="O107" s="122">
        <f>[1]Database!H$225</f>
        <v>512.15140653000003</v>
      </c>
      <c r="P107" s="102">
        <f>[1]Database!I$225</f>
        <v>259.34240653000001</v>
      </c>
      <c r="Q107" s="113">
        <f>[1]Database!J$225</f>
        <v>59.930406530000006</v>
      </c>
      <c r="R107" s="113">
        <f>[1]Database!K$225</f>
        <v>199.41200000000001</v>
      </c>
      <c r="S107" s="113">
        <f>[1]Database!L$225</f>
        <v>252.809</v>
      </c>
      <c r="T107" s="115">
        <f>[1]Database!M$225</f>
        <v>0</v>
      </c>
      <c r="U107" s="154">
        <f t="shared" si="88"/>
        <v>1.7053025658242404E-12</v>
      </c>
    </row>
    <row r="108" spans="1:21" x14ac:dyDescent="0.3">
      <c r="A108" s="63" t="s">
        <v>105</v>
      </c>
      <c r="B108" s="99">
        <f>[1]Database!$H$228</f>
        <v>503.55209074000004</v>
      </c>
      <c r="C108" s="99">
        <f>[1]Database!$N$228</f>
        <v>389.73577964999998</v>
      </c>
      <c r="D108" s="99">
        <f>[1]Database!$O$228+[1]Database!$V$228</f>
        <v>425.28040478999998</v>
      </c>
      <c r="E108" s="99">
        <f>[1]Database!$W$228</f>
        <v>-35.544625139999994</v>
      </c>
      <c r="F108" s="99"/>
      <c r="G108" s="110">
        <f>[1]Database!$AA$228</f>
        <v>311.68998251499983</v>
      </c>
      <c r="H108" s="99">
        <f>[1]Database!$AC$228</f>
        <v>-91.612027865000158</v>
      </c>
      <c r="I108" s="99">
        <f>[1]Database!$AK$228</f>
        <v>42.509</v>
      </c>
      <c r="J108" s="99">
        <f>[1]Database!$AN$228</f>
        <v>345.46901037999999</v>
      </c>
      <c r="K108" s="99">
        <f>[1]Database!$AQ$228</f>
        <v>15.324</v>
      </c>
      <c r="L108" s="100">
        <f>[1]Database!$AU$228+[1]Database!$AV$228-[1]Database!$AW$228</f>
        <v>-197.87367142500162</v>
      </c>
      <c r="M108" s="45"/>
      <c r="N108" s="63" t="str">
        <f t="shared" si="89"/>
        <v>2017Q1</v>
      </c>
      <c r="O108" s="122">
        <f>[1]Database!H$228</f>
        <v>503.55209074000004</v>
      </c>
      <c r="P108" s="102">
        <f>[1]Database!I$228</f>
        <v>238.34109074</v>
      </c>
      <c r="Q108" s="113">
        <f>[1]Database!J$228</f>
        <v>51.301090740000006</v>
      </c>
      <c r="R108" s="113">
        <f>[1]Database!K$228</f>
        <v>187.04</v>
      </c>
      <c r="S108" s="113">
        <f>[1]Database!L$228</f>
        <v>265.21100000000001</v>
      </c>
      <c r="T108" s="115">
        <f>[1]Database!M$228</f>
        <v>0</v>
      </c>
      <c r="U108" s="154">
        <f t="shared" ref="U108:U119" si="90">O108-C108-G108-L108</f>
        <v>1.8474111129762605E-12</v>
      </c>
    </row>
    <row r="109" spans="1:21" x14ac:dyDescent="0.3">
      <c r="A109" s="63" t="s">
        <v>106</v>
      </c>
      <c r="B109" s="99">
        <f>[1]Database!$H$231</f>
        <v>534.85810493000008</v>
      </c>
      <c r="C109" s="99">
        <f>[1]Database!$N$231</f>
        <v>428.1240123300002</v>
      </c>
      <c r="D109" s="99">
        <f>[1]Database!$O$231+[1]Database!$V$231</f>
        <v>464.38879654000016</v>
      </c>
      <c r="E109" s="99">
        <f>[1]Database!$W$231</f>
        <v>-36.264784209999981</v>
      </c>
      <c r="F109" s="99"/>
      <c r="G109" s="110">
        <f>[1]Database!$AA$231</f>
        <v>301.8970831124999</v>
      </c>
      <c r="H109" s="99">
        <f>[1]Database!$AC$231</f>
        <v>-114.73282917250012</v>
      </c>
      <c r="I109" s="99">
        <f>[1]Database!$AK$231</f>
        <v>43.372999999999998</v>
      </c>
      <c r="J109" s="99">
        <f>[1]Database!$AN$231</f>
        <v>371.85691228500002</v>
      </c>
      <c r="K109" s="99">
        <f>[1]Database!$AQ$231</f>
        <v>1.4</v>
      </c>
      <c r="L109" s="100">
        <f>[1]Database!$AU$231+[1]Database!$AV$231-[1]Database!$AW$231</f>
        <v>-195.16299051250144</v>
      </c>
      <c r="M109" s="45"/>
      <c r="N109" s="63" t="str">
        <f t="shared" si="89"/>
        <v>2017Q2</v>
      </c>
      <c r="O109" s="122">
        <f>[1]Database!H$231</f>
        <v>534.85810493000008</v>
      </c>
      <c r="P109" s="102">
        <f>[1]Database!I$231</f>
        <v>263.64910493000002</v>
      </c>
      <c r="Q109" s="113">
        <f>[1]Database!J$231</f>
        <v>60.816104930000002</v>
      </c>
      <c r="R109" s="113">
        <f>[1]Database!K$231</f>
        <v>202.833</v>
      </c>
      <c r="S109" s="113">
        <f>[1]Database!L$231</f>
        <v>271.209</v>
      </c>
      <c r="T109" s="115">
        <f>[1]Database!M$231</f>
        <v>0</v>
      </c>
      <c r="U109" s="154">
        <f t="shared" si="90"/>
        <v>1.4210854715202004E-12</v>
      </c>
    </row>
    <row r="110" spans="1:21" x14ac:dyDescent="0.3">
      <c r="A110" s="63" t="s">
        <v>107</v>
      </c>
      <c r="B110" s="125">
        <f>[1]Database!$H$234</f>
        <v>549.71261488999994</v>
      </c>
      <c r="C110" s="125">
        <f>[1]Database!$N$234</f>
        <v>418.97707993000017</v>
      </c>
      <c r="D110" s="125">
        <f>[1]Database!$O$234+[1]Database!$V$234</f>
        <v>454.04861340000014</v>
      </c>
      <c r="E110" s="125">
        <f>[1]Database!$W$234</f>
        <v>-35.071533469999977</v>
      </c>
      <c r="F110" s="125"/>
      <c r="G110" s="126">
        <f>[1]Database!$AA$234</f>
        <v>319.80668884249991</v>
      </c>
      <c r="H110" s="125">
        <f>[1]Database!$AC$234</f>
        <v>-110.37183937250011</v>
      </c>
      <c r="I110" s="125">
        <f>[1]Database!$AK$234</f>
        <v>45.088000000000001</v>
      </c>
      <c r="J110" s="125">
        <f>[1]Database!$AN$234</f>
        <v>383.01552821500002</v>
      </c>
      <c r="K110" s="125">
        <f>[1]Database!$AQ$234</f>
        <v>2.0750000000000002</v>
      </c>
      <c r="L110" s="100">
        <f>[1]Database!$AU$234+[1]Database!$AV$234-[1]Database!$AW$234</f>
        <v>-189.0711538825017</v>
      </c>
      <c r="M110" s="46"/>
      <c r="N110" s="63" t="str">
        <f t="shared" si="89"/>
        <v>2017Q3</v>
      </c>
      <c r="O110" s="128">
        <f>[1]Database!H$234</f>
        <v>549.71261488999994</v>
      </c>
      <c r="P110" s="129">
        <f>[1]Database!I$234</f>
        <v>248.88961489000002</v>
      </c>
      <c r="Q110" s="130">
        <f>[1]Database!J$234</f>
        <v>58.702614890000014</v>
      </c>
      <c r="R110" s="130">
        <f>[1]Database!K$234</f>
        <v>190.18700000000001</v>
      </c>
      <c r="S110" s="130">
        <f>[1]Database!L$234</f>
        <v>300.82299999999998</v>
      </c>
      <c r="T110" s="131">
        <f>[1]Database!M$234</f>
        <v>0</v>
      </c>
      <c r="U110" s="154">
        <f t="shared" si="90"/>
        <v>1.5631940186722204E-12</v>
      </c>
    </row>
    <row r="111" spans="1:21" x14ac:dyDescent="0.3">
      <c r="A111" s="63" t="s">
        <v>108</v>
      </c>
      <c r="B111" s="125">
        <f>[1]Database!$H$237</f>
        <v>560.56991612000002</v>
      </c>
      <c r="C111" s="125">
        <f>[1]Database!$N$237</f>
        <v>441.77225371000026</v>
      </c>
      <c r="D111" s="125">
        <f>[1]Database!$O$237+[1]Database!$V$237</f>
        <v>477.36949297000024</v>
      </c>
      <c r="E111" s="125">
        <f>[1]Database!$W$237</f>
        <v>-35.597239259999988</v>
      </c>
      <c r="F111" s="125"/>
      <c r="G111" s="126">
        <f>[1]Database!$AA$237</f>
        <v>306.63100837249982</v>
      </c>
      <c r="H111" s="125">
        <f>[1]Database!$AC$237</f>
        <v>-135.13284565250012</v>
      </c>
      <c r="I111" s="125">
        <f>[1]Database!$AK$237</f>
        <v>53.423999999999999</v>
      </c>
      <c r="J111" s="125">
        <f>[1]Database!$AN$237</f>
        <v>386.17285402499999</v>
      </c>
      <c r="K111" s="125">
        <f>[1]Database!$AQ$237</f>
        <v>2.1669999999999998</v>
      </c>
      <c r="L111" s="100">
        <f>[1]Database!$AU$237+[1]Database!$AV$237-[1]Database!$AW$237</f>
        <v>-187.83334596250168</v>
      </c>
      <c r="M111" s="46"/>
      <c r="N111" s="63" t="str">
        <f t="shared" si="89"/>
        <v>2017Q4</v>
      </c>
      <c r="O111" s="128">
        <f>[1]Database!H$237</f>
        <v>560.56991612000002</v>
      </c>
      <c r="P111" s="129">
        <f>[1]Database!I$237</f>
        <v>251.24591612</v>
      </c>
      <c r="Q111" s="130">
        <f>[1]Database!J$237</f>
        <v>69.259916120000014</v>
      </c>
      <c r="R111" s="130">
        <f>[1]Database!K$237</f>
        <v>181.98599999999999</v>
      </c>
      <c r="S111" s="130">
        <f>[1]Database!L$237</f>
        <v>309.32400000000001</v>
      </c>
      <c r="T111" s="131">
        <f>[1]Database!M$237</f>
        <v>0</v>
      </c>
      <c r="U111" s="154">
        <f t="shared" si="90"/>
        <v>1.6200374375330284E-12</v>
      </c>
    </row>
    <row r="112" spans="1:21" x14ac:dyDescent="0.3">
      <c r="A112" s="63" t="s">
        <v>109</v>
      </c>
      <c r="B112" s="125">
        <f>[1]Database!$H$240</f>
        <v>558.70055769999999</v>
      </c>
      <c r="C112" s="125">
        <f>[1]Database!$N$240</f>
        <v>461.71848215000034</v>
      </c>
      <c r="D112" s="125">
        <f>[1]Database!$O$240+[1]Database!$V$240</f>
        <v>497.1891883000003</v>
      </c>
      <c r="E112" s="125">
        <f>[1]Database!$W$240</f>
        <v>-35.470706149999984</v>
      </c>
      <c r="F112" s="125"/>
      <c r="G112" s="126">
        <f>[1]Database!$AA$240</f>
        <v>289.86558094749989</v>
      </c>
      <c r="H112" s="125">
        <f>[1]Database!$AC$240</f>
        <v>-157.70222526750013</v>
      </c>
      <c r="I112" s="125">
        <f>[1]Database!$AK$240</f>
        <v>53.091999999999999</v>
      </c>
      <c r="J112" s="125">
        <f>[1]Database!$AN$240</f>
        <v>392.73180621500001</v>
      </c>
      <c r="K112" s="125">
        <f>[1]Database!$AQ$240</f>
        <v>1.744</v>
      </c>
      <c r="L112" s="127">
        <f>[1]Database!$AU$240+[1]Database!$AV$240-[1]Database!$AW$240</f>
        <v>-192.88350539750161</v>
      </c>
      <c r="M112" s="46"/>
      <c r="N112" s="63" t="str">
        <f t="shared" si="89"/>
        <v>2018Q1</v>
      </c>
      <c r="O112" s="128">
        <f>[1]Database!H$240</f>
        <v>558.70055769999999</v>
      </c>
      <c r="P112" s="129">
        <f>[1]Database!I$240</f>
        <v>247.55655769999998</v>
      </c>
      <c r="Q112" s="130">
        <f>[1]Database!J$240</f>
        <v>67.337557700000005</v>
      </c>
      <c r="R112" s="130">
        <f>[1]Database!K$240</f>
        <v>180.21899999999999</v>
      </c>
      <c r="S112" s="130">
        <f>[1]Database!L$240</f>
        <v>311.14400000000001</v>
      </c>
      <c r="T112" s="131">
        <f>[1]Database!M$240</f>
        <v>0</v>
      </c>
      <c r="U112" s="154">
        <f t="shared" si="90"/>
        <v>1.3642420526593924E-12</v>
      </c>
    </row>
    <row r="113" spans="1:21" s="112" customFormat="1" x14ac:dyDescent="0.3">
      <c r="A113" s="63" t="s">
        <v>110</v>
      </c>
      <c r="B113" s="126">
        <f>[1]Database!$H$243</f>
        <v>575.36111471000004</v>
      </c>
      <c r="C113" s="126">
        <f>[1]Database!$N$243</f>
        <v>485.27294835000032</v>
      </c>
      <c r="D113" s="126">
        <f>[1]Database!$O$243+[1]Database!$V$243</f>
        <v>521.42109895000033</v>
      </c>
      <c r="E113" s="126">
        <f>[1]Database!$W$243</f>
        <v>-36.148150599999987</v>
      </c>
      <c r="F113" s="126"/>
      <c r="G113" s="126">
        <f>[1]Database!$AA$243</f>
        <v>282.89056048749984</v>
      </c>
      <c r="H113" s="126">
        <f>[1]Database!$AC$243</f>
        <v>-169.11003472750014</v>
      </c>
      <c r="I113" s="126">
        <f>[1]Database!$AK$243</f>
        <v>52.091999999999999</v>
      </c>
      <c r="J113" s="126">
        <f>[1]Database!$AN$243</f>
        <v>397.49359521499997</v>
      </c>
      <c r="K113" s="126">
        <f>[1]Database!$AQ$243</f>
        <v>2.415</v>
      </c>
      <c r="L113" s="127">
        <f>[1]Database!$AU$243+[1]Database!$AV$243-[1]Database!$AW$243</f>
        <v>-192.80239412750163</v>
      </c>
      <c r="M113" s="138"/>
      <c r="N113" s="63" t="str">
        <f t="shared" si="89"/>
        <v>2018Q2</v>
      </c>
      <c r="O113" s="128">
        <f>[1]Database!H$243</f>
        <v>575.36111471000004</v>
      </c>
      <c r="P113" s="128">
        <f>[1]Database!I$243</f>
        <v>252.31311470999998</v>
      </c>
      <c r="Q113" s="139">
        <f>[1]Database!J$243</f>
        <v>70.123114709999996</v>
      </c>
      <c r="R113" s="139">
        <f>[1]Database!K$243</f>
        <v>182.19</v>
      </c>
      <c r="S113" s="139">
        <f>[1]Database!L$243</f>
        <v>323.048</v>
      </c>
      <c r="T113" s="140">
        <f>[1]Database!M$243</f>
        <v>0</v>
      </c>
      <c r="U113" s="154">
        <f>O113-C113-G113-L113</f>
        <v>1.5063505998114124E-12</v>
      </c>
    </row>
    <row r="114" spans="1:21" s="112" customFormat="1" x14ac:dyDescent="0.3">
      <c r="A114" s="63" t="s">
        <v>111</v>
      </c>
      <c r="B114" s="126">
        <f>[1]Database!$H$246</f>
        <v>595.23814905000006</v>
      </c>
      <c r="C114" s="126">
        <f>[1]Database!$N$246</f>
        <v>470.14355765000039</v>
      </c>
      <c r="D114" s="126">
        <f>[1]Database!$O$246+[1]Database!$V$246</f>
        <v>514.17570825000041</v>
      </c>
      <c r="E114" s="126">
        <f>[1]Database!$W$246</f>
        <v>-44.032150599999994</v>
      </c>
      <c r="F114" s="126"/>
      <c r="G114" s="126">
        <f>[1]Database!$AA$246</f>
        <v>328.14712011249986</v>
      </c>
      <c r="H114" s="126">
        <f>[1]Database!$AC$246</f>
        <v>-136.44818134250013</v>
      </c>
      <c r="I114" s="126">
        <f>[1]Database!$AK$246</f>
        <v>54.168999999999997</v>
      </c>
      <c r="J114" s="126">
        <f>[1]Database!$AN$246</f>
        <v>407.68730145500001</v>
      </c>
      <c r="K114" s="126">
        <f>[1]Database!$AQ$246</f>
        <v>2.7389999999999999</v>
      </c>
      <c r="L114" s="127">
        <f>[1]Database!$AU$246+[1]Database!$AV$246-[1]Database!$AW$246</f>
        <v>-203.05252871250178</v>
      </c>
      <c r="M114" s="138"/>
      <c r="N114" s="63" t="str">
        <f t="shared" si="89"/>
        <v>2018Q3</v>
      </c>
      <c r="O114" s="128">
        <f>[1]Database!H$246</f>
        <v>595.23814905000006</v>
      </c>
      <c r="P114" s="128">
        <f>[1]Database!I$246</f>
        <v>276.23414905000004</v>
      </c>
      <c r="Q114" s="139">
        <f>[1]Database!J$246</f>
        <v>66.126149050000024</v>
      </c>
      <c r="R114" s="139">
        <f>[1]Database!K$246</f>
        <v>210.108</v>
      </c>
      <c r="S114" s="139">
        <f>[1]Database!L$246</f>
        <v>319.00400000000002</v>
      </c>
      <c r="T114" s="140">
        <f>[1]Database!M$246</f>
        <v>0</v>
      </c>
      <c r="U114" s="154">
        <f t="shared" si="90"/>
        <v>1.5916157281026244E-12</v>
      </c>
    </row>
    <row r="115" spans="1:21" s="112" customFormat="1" x14ac:dyDescent="0.3">
      <c r="A115" s="63" t="s">
        <v>112</v>
      </c>
      <c r="B115" s="126">
        <f>[1]Database!$H$249</f>
        <v>605.25311915999998</v>
      </c>
      <c r="C115" s="126">
        <f>[1]Database!$N$249</f>
        <v>500.49331716000029</v>
      </c>
      <c r="D115" s="126">
        <f>[1]Database!$O$249+[1]Database!$V$249</f>
        <v>539.5615929300003</v>
      </c>
      <c r="E115" s="126">
        <f>[1]Database!$W$249</f>
        <v>-39.068275769999985</v>
      </c>
      <c r="F115" s="126"/>
      <c r="G115" s="126">
        <f>[1]Database!$AA$249</f>
        <v>305.09545641499994</v>
      </c>
      <c r="H115" s="126">
        <f>[1]Database!$AC$249</f>
        <v>-176.22744544500009</v>
      </c>
      <c r="I115" s="126">
        <f>[1]Database!$AK$249</f>
        <v>59.087000000000003</v>
      </c>
      <c r="J115" s="126">
        <f>[1]Database!$AN$249</f>
        <v>419.77790185999999</v>
      </c>
      <c r="K115" s="126">
        <f>[1]Database!$AQ$249</f>
        <v>2.4580000000000002</v>
      </c>
      <c r="L115" s="127">
        <f>[1]Database!$AU$249+[1]Database!$AV$249-[1]Database!$AW$249</f>
        <v>-200.33565441500178</v>
      </c>
      <c r="M115" s="138"/>
      <c r="N115" s="63" t="str">
        <f t="shared" si="89"/>
        <v>2018Q4</v>
      </c>
      <c r="O115" s="128">
        <f>[1]Database!H$249</f>
        <v>605.25311915999998</v>
      </c>
      <c r="P115" s="128">
        <f>[1]Database!I$249</f>
        <v>291.67911915999997</v>
      </c>
      <c r="Q115" s="139">
        <f>[1]Database!J$249</f>
        <v>73.06711915999999</v>
      </c>
      <c r="R115" s="139">
        <f>[1]Database!K$249</f>
        <v>218.61199999999999</v>
      </c>
      <c r="S115" s="139">
        <f>[1]Database!L$249</f>
        <v>313.57400000000001</v>
      </c>
      <c r="T115" s="140">
        <f>[1]Database!M$249</f>
        <v>0</v>
      </c>
      <c r="U115" s="154">
        <f t="shared" si="90"/>
        <v>1.5347723092418164E-12</v>
      </c>
    </row>
    <row r="116" spans="1:21" s="112" customFormat="1" x14ac:dyDescent="0.3">
      <c r="A116" s="63" t="s">
        <v>113</v>
      </c>
      <c r="B116" s="126">
        <f>[1]Database!$H$252</f>
        <v>583.48569739000004</v>
      </c>
      <c r="C116" s="126">
        <f>[1]Database!$N$252</f>
        <v>482.03638703999991</v>
      </c>
      <c r="D116" s="126">
        <f>[1]Database!$O$252+[1]Database!$V$252</f>
        <v>520.20631769999989</v>
      </c>
      <c r="E116" s="126">
        <f>[1]Database!$W$252</f>
        <v>-38.169930659999991</v>
      </c>
      <c r="F116" s="126"/>
      <c r="G116" s="126">
        <f>[1]Database!$AA$252</f>
        <v>316.19929193249988</v>
      </c>
      <c r="H116" s="126">
        <f>[1]Database!$AC$252</f>
        <v>-176.54702086250006</v>
      </c>
      <c r="I116" s="126">
        <f>[1]Database!$AK$252</f>
        <v>60.017000000000003</v>
      </c>
      <c r="J116" s="126">
        <f>[1]Database!$AN$252</f>
        <v>430.49531279499996</v>
      </c>
      <c r="K116" s="126">
        <f>[1]Database!$AQ$252</f>
        <v>2.234</v>
      </c>
      <c r="L116" s="127">
        <f>[1]Database!$AU$252+[1]Database!$AV$252-[1]Database!$AW$252</f>
        <v>-214.74998158250193</v>
      </c>
      <c r="M116" s="138"/>
      <c r="N116" s="63" t="str">
        <f t="shared" si="89"/>
        <v>2019Q1</v>
      </c>
      <c r="O116" s="128">
        <f>[1]Database!H$252</f>
        <v>583.48569739000004</v>
      </c>
      <c r="P116" s="128">
        <f>[1]Database!I$252</f>
        <v>272.65869738999999</v>
      </c>
      <c r="Q116" s="139">
        <f>[1]Database!J$252</f>
        <v>60.877697390000002</v>
      </c>
      <c r="R116" s="139">
        <f>[1]Database!K$252</f>
        <v>211.78100000000001</v>
      </c>
      <c r="S116" s="139">
        <f>[1]Database!L$252</f>
        <v>310.827</v>
      </c>
      <c r="T116" s="140">
        <f>[1]Database!M$252</f>
        <v>0</v>
      </c>
      <c r="U116" s="154">
        <f t="shared" si="90"/>
        <v>2.1884716261411086E-12</v>
      </c>
    </row>
    <row r="117" spans="1:21" s="112" customFormat="1" x14ac:dyDescent="0.3">
      <c r="A117" s="63" t="s">
        <v>114</v>
      </c>
      <c r="B117" s="126">
        <f>[1]Database!$H$255</f>
        <v>600.09352372000012</v>
      </c>
      <c r="C117" s="126">
        <f>[1]Database!$N$255</f>
        <v>506.33770723000026</v>
      </c>
      <c r="D117" s="126">
        <f>[1]Database!$O$255+[1]Database!$V$255</f>
        <v>545.31784154000025</v>
      </c>
      <c r="E117" s="126">
        <f>[1]Database!$W$255</f>
        <v>-38.98013430999999</v>
      </c>
      <c r="F117" s="126"/>
      <c r="G117" s="126">
        <f>[1]Database!$AA$255</f>
        <v>299.54171657499995</v>
      </c>
      <c r="H117" s="126">
        <f>[1]Database!$AC$255</f>
        <v>-190.87925971500007</v>
      </c>
      <c r="I117" s="126">
        <f>[1]Database!$AK$255</f>
        <v>59.904000000000003</v>
      </c>
      <c r="J117" s="126">
        <f>[1]Database!$AN$255</f>
        <v>427.59097629000001</v>
      </c>
      <c r="K117" s="126">
        <f>[1]Database!$AQ$255</f>
        <v>2.9260000000000002</v>
      </c>
      <c r="L117" s="127">
        <f>[1]Database!$AU$255+[1]Database!$AV$255-[1]Database!$AW$255</f>
        <v>-205.78590008500203</v>
      </c>
      <c r="M117" s="138"/>
      <c r="N117" s="63" t="str">
        <f t="shared" si="89"/>
        <v>2019Q2</v>
      </c>
      <c r="O117" s="128">
        <f>[1]Database!H$255</f>
        <v>600.09352372000012</v>
      </c>
      <c r="P117" s="128">
        <f>[1]Database!I$255</f>
        <v>281.88052372000004</v>
      </c>
      <c r="Q117" s="139">
        <f>[1]Database!J$255</f>
        <v>70.253523720000004</v>
      </c>
      <c r="R117" s="139">
        <f>[1]Database!K$255</f>
        <v>211.62700000000001</v>
      </c>
      <c r="S117" s="139">
        <f>[1]Database!L$255</f>
        <v>318.21300000000002</v>
      </c>
      <c r="T117" s="140">
        <f>[1]Database!M$255</f>
        <v>0</v>
      </c>
      <c r="U117" s="159">
        <f t="shared" si="90"/>
        <v>1.9326762412674725E-12</v>
      </c>
    </row>
    <row r="118" spans="1:21" s="112" customFormat="1" x14ac:dyDescent="0.3">
      <c r="A118" s="63" t="s">
        <v>115</v>
      </c>
      <c r="B118" s="126">
        <f>[1]Database!$H$258</f>
        <v>594.53325356999994</v>
      </c>
      <c r="C118" s="126">
        <f>[1]Database!$N$258</f>
        <v>504.45705121000037</v>
      </c>
      <c r="D118" s="126">
        <f>[1]Database!$O$258+[1]Database!$V$258</f>
        <v>547.63715999000033</v>
      </c>
      <c r="E118" s="126">
        <f>[1]Database!$W$258</f>
        <v>-43.180108779999983</v>
      </c>
      <c r="F118" s="126"/>
      <c r="G118" s="126">
        <f>[1]Database!$AA$258</f>
        <v>316.86568496249998</v>
      </c>
      <c r="H118" s="126">
        <f>[1]Database!$AC$258</f>
        <v>-181.00319470250005</v>
      </c>
      <c r="I118" s="126">
        <f>[1]Database!$AK$258</f>
        <v>63.8</v>
      </c>
      <c r="J118" s="126">
        <f>[1]Database!$AN$258</f>
        <v>430.21887966500003</v>
      </c>
      <c r="K118" s="126">
        <f>[1]Database!$AQ$258</f>
        <v>3.85</v>
      </c>
      <c r="L118" s="127">
        <f>[1]Database!$AU$258+[1]Database!$AV$258-[1]Database!$AW$258</f>
        <v>-226.78948260250186</v>
      </c>
      <c r="M118" s="138"/>
      <c r="N118" s="63" t="str">
        <f t="shared" si="89"/>
        <v>2019Q3</v>
      </c>
      <c r="O118" s="128">
        <f>[1]Database!H$258</f>
        <v>594.53325356999994</v>
      </c>
      <c r="P118" s="128">
        <f>[1]Database!I$258</f>
        <v>278.72425356999997</v>
      </c>
      <c r="Q118" s="139">
        <f>[1]Database!J$258</f>
        <v>63.194253570000001</v>
      </c>
      <c r="R118" s="139">
        <f>[1]Database!K$258</f>
        <v>215.53</v>
      </c>
      <c r="S118" s="139">
        <f>[1]Database!L$258</f>
        <v>315.80900000000003</v>
      </c>
      <c r="T118" s="140">
        <f>[1]Database!M$258</f>
        <v>0</v>
      </c>
      <c r="U118" s="159">
        <f t="shared" si="90"/>
        <v>1.4495071809506044E-12</v>
      </c>
    </row>
    <row r="119" spans="1:21" s="112" customFormat="1" x14ac:dyDescent="0.3">
      <c r="A119" s="63" t="s">
        <v>116</v>
      </c>
      <c r="B119" s="126">
        <f>[1]Database!$H$261</f>
        <v>603.55640229000005</v>
      </c>
      <c r="C119" s="126">
        <f>[1]Database!$N$261</f>
        <v>499.63178758000038</v>
      </c>
      <c r="D119" s="126">
        <f>[1]Database!$O$261+[1]Database!$V$261</f>
        <v>545.60671690000038</v>
      </c>
      <c r="E119" s="126">
        <f>[1]Database!$W$261</f>
        <v>-45.974929319999987</v>
      </c>
      <c r="F119" s="126"/>
      <c r="G119" s="126">
        <f>[1]Database!$AA$261</f>
        <v>319.58106715249994</v>
      </c>
      <c r="H119" s="126">
        <f>[1]Database!$AC$261</f>
        <v>-179.82746809250003</v>
      </c>
      <c r="I119" s="126">
        <f>[1]Database!$AK$261</f>
        <v>63.283000000000001</v>
      </c>
      <c r="J119" s="126">
        <f>[1]Database!$AN$261</f>
        <v>433.386535245</v>
      </c>
      <c r="K119" s="126">
        <f>[1]Database!$AQ$261</f>
        <v>2.7389999999999999</v>
      </c>
      <c r="L119" s="127">
        <f>[1]Database!$AU$261+[1]Database!$AV$261-[1]Database!$AW$261</f>
        <v>-215.65645244250194</v>
      </c>
      <c r="M119" s="138"/>
      <c r="N119" s="63" t="str">
        <f t="shared" si="89"/>
        <v>2019Q4</v>
      </c>
      <c r="O119" s="141">
        <f>[1]Database!H$261</f>
        <v>603.55640229000005</v>
      </c>
      <c r="P119" s="141">
        <f>[1]Database!I$261</f>
        <v>278.46240229</v>
      </c>
      <c r="Q119" s="142">
        <f>[1]Database!J$261</f>
        <v>67.392402289999993</v>
      </c>
      <c r="R119" s="142">
        <f>[1]Database!K$261</f>
        <v>211.07</v>
      </c>
      <c r="S119" s="142">
        <f>[1]Database!L$261</f>
        <v>325.09399999999999</v>
      </c>
      <c r="T119" s="143">
        <f>[1]Database!M$261</f>
        <v>0</v>
      </c>
      <c r="U119" s="159">
        <f t="shared" si="90"/>
        <v>1.6768808563938364E-12</v>
      </c>
    </row>
    <row r="120" spans="1:21" s="112" customFormat="1" x14ac:dyDescent="0.3">
      <c r="A120" s="63" t="s">
        <v>117</v>
      </c>
      <c r="B120" s="126">
        <f>[1]Database!$H$264</f>
        <v>596.35198548999995</v>
      </c>
      <c r="C120" s="126">
        <f>[1]Database!$N$264</f>
        <v>485.30086086000034</v>
      </c>
      <c r="D120" s="126">
        <f>[1]Database!$O$264+[1]Database!$V$264</f>
        <v>517.89551179000034</v>
      </c>
      <c r="E120" s="126">
        <f>[1]Database!$W$264</f>
        <v>-32.594650929999986</v>
      </c>
      <c r="F120" s="126"/>
      <c r="G120" s="126">
        <f>[1]Database!$AA$264</f>
        <v>333.42968462999994</v>
      </c>
      <c r="H120" s="126">
        <f>[1]Database!$AC$264</f>
        <v>-170.50801892000001</v>
      </c>
      <c r="I120" s="126">
        <f>[1]Database!$AK$264</f>
        <v>61.390999999999998</v>
      </c>
      <c r="J120" s="126">
        <f>[1]Database!$AN$264</f>
        <v>440.37370354999996</v>
      </c>
      <c r="K120" s="126">
        <f>[1]Database!$AQ$264</f>
        <v>2.173</v>
      </c>
      <c r="L120" s="127">
        <f>[1]Database!$AU$264+[1]Database!$AV$264-[1]Database!$AW$264</f>
        <v>-222.37856000000184</v>
      </c>
      <c r="M120" s="138"/>
      <c r="N120" s="63" t="str">
        <f t="shared" si="89"/>
        <v>2020Q1</v>
      </c>
      <c r="O120" s="141">
        <f>[1]Database!H$264</f>
        <v>596.35198548999995</v>
      </c>
      <c r="P120" s="141">
        <f>[1]Database!I$264</f>
        <v>282.90498548999994</v>
      </c>
      <c r="Q120" s="142">
        <f>[1]Database!J$264</f>
        <v>66.270985489999987</v>
      </c>
      <c r="R120" s="142">
        <f>[1]Database!K$264</f>
        <v>216.63399999999999</v>
      </c>
      <c r="S120" s="142">
        <f>[1]Database!L$264</f>
        <v>313.447</v>
      </c>
      <c r="T120" s="143">
        <f>[1]Database!M$264</f>
        <v>0</v>
      </c>
      <c r="U120" s="160">
        <f>O120-C120-G120-L120</f>
        <v>1.5063505998114124E-12</v>
      </c>
    </row>
    <row r="121" spans="1:21" s="112" customFormat="1" x14ac:dyDescent="0.3">
      <c r="A121" s="63" t="s">
        <v>118</v>
      </c>
      <c r="B121" s="126">
        <f>[1]Database!$H$267</f>
        <v>607.06326046000004</v>
      </c>
      <c r="C121" s="126">
        <f>[1]Database!$N$267</f>
        <v>570.62967516000037</v>
      </c>
      <c r="D121" s="126">
        <f>[1]Database!$O$267+[1]Database!$V$267</f>
        <v>601.91997557000036</v>
      </c>
      <c r="E121" s="126">
        <f>[1]Database!$W$267</f>
        <v>-31.290300409999986</v>
      </c>
      <c r="F121" s="126"/>
      <c r="G121" s="126">
        <f>[1]Database!$AA$267</f>
        <v>251.89579316500004</v>
      </c>
      <c r="H121" s="126">
        <f>[1]Database!$AC$267</f>
        <v>-244.84482490499994</v>
      </c>
      <c r="I121" s="126">
        <f>[1]Database!$AK$267</f>
        <v>61.646999999999998</v>
      </c>
      <c r="J121" s="126">
        <f>[1]Database!$AN$267</f>
        <v>432.74261806999999</v>
      </c>
      <c r="K121" s="126">
        <f>[1]Database!$AQ$267</f>
        <v>2.351</v>
      </c>
      <c r="L121" s="127">
        <f>[1]Database!$AU$267+[1]Database!$AV$267-[1]Database!$AW$267</f>
        <v>-215.46220786500169</v>
      </c>
      <c r="M121" s="138"/>
      <c r="N121" s="63" t="str">
        <f t="shared" si="89"/>
        <v>2020Q2</v>
      </c>
      <c r="O121" s="141">
        <f>[1]Database!H$267</f>
        <v>607.06326046000004</v>
      </c>
      <c r="P121" s="141">
        <f>[1]Database!I$267</f>
        <v>273.21326046000001</v>
      </c>
      <c r="Q121" s="142">
        <f>[1]Database!J$267</f>
        <v>71.374260460000002</v>
      </c>
      <c r="R121" s="142">
        <f>[1]Database!K$267</f>
        <v>201.839</v>
      </c>
      <c r="S121" s="142">
        <f>[1]Database!L$267</f>
        <v>333.85</v>
      </c>
      <c r="T121" s="143">
        <f>[1]Database!M$267</f>
        <v>0</v>
      </c>
      <c r="U121" s="160">
        <f t="shared" ref="U121:U123" si="91">O121-C121-G121-L121</f>
        <v>1.3073986337985843E-12</v>
      </c>
    </row>
    <row r="122" spans="1:21" s="112" customFormat="1" x14ac:dyDescent="0.3">
      <c r="A122" s="63" t="s">
        <v>119</v>
      </c>
      <c r="B122" s="126">
        <f>[1]Database!$H$270</f>
        <v>640.78721369000004</v>
      </c>
      <c r="C122" s="126">
        <f>[1]Database!$N$270</f>
        <v>605.43606652000051</v>
      </c>
      <c r="D122" s="126">
        <f>[1]Database!$O$270+[1]Database!$V$270</f>
        <v>637.48682644000053</v>
      </c>
      <c r="E122" s="126">
        <f>[1]Database!$W$270</f>
        <v>-32.05075991999999</v>
      </c>
      <c r="F122" s="126"/>
      <c r="G122" s="126">
        <f>[1]Database!$AA$270</f>
        <v>268.66117989500009</v>
      </c>
      <c r="H122" s="126">
        <f>[1]Database!$AC$270</f>
        <v>-226.3235932149999</v>
      </c>
      <c r="I122" s="126">
        <f>[1]Database!$AK$270</f>
        <v>59.837000000000003</v>
      </c>
      <c r="J122" s="126">
        <f>[1]Database!$AN$270</f>
        <v>432.86777311000003</v>
      </c>
      <c r="K122" s="126">
        <f>[1]Database!$AQ$270</f>
        <v>2.2799999999999998</v>
      </c>
      <c r="L122" s="127">
        <f>[1]Database!$AU$270+[1]Database!$AV$270-[1]Database!$AW$270</f>
        <v>-233.31003272500158</v>
      </c>
      <c r="M122" s="138"/>
      <c r="N122" s="63" t="str">
        <f t="shared" si="89"/>
        <v>2020Q3</v>
      </c>
      <c r="O122" s="141">
        <f>[1]Database!H$270</f>
        <v>640.78721369000004</v>
      </c>
      <c r="P122" s="141">
        <f>[1]Database!I$270</f>
        <v>302.54521369000003</v>
      </c>
      <c r="Q122" s="142">
        <f>[1]Database!J$270</f>
        <v>75.191213690000012</v>
      </c>
      <c r="R122" s="142">
        <f>[1]Database!K$270</f>
        <v>227.35400000000001</v>
      </c>
      <c r="S122" s="142">
        <f>[1]Database!L$270</f>
        <v>338.24200000000002</v>
      </c>
      <c r="T122" s="143">
        <f>[1]Database!M$270</f>
        <v>0</v>
      </c>
      <c r="U122" s="160">
        <f t="shared" si="91"/>
        <v>1.0231815394945443E-12</v>
      </c>
    </row>
    <row r="123" spans="1:21" s="112" customFormat="1" x14ac:dyDescent="0.3">
      <c r="A123" s="63" t="s">
        <v>120</v>
      </c>
      <c r="B123" s="126">
        <f>[1]Database!$H$273</f>
        <v>709.10141291000002</v>
      </c>
      <c r="C123" s="126">
        <f>[1]Database!$N$273</f>
        <v>702.70670397000038</v>
      </c>
      <c r="D123" s="126">
        <f>[1]Database!$O$273+[1]Database!$V$273</f>
        <v>736.3101705400004</v>
      </c>
      <c r="E123" s="126">
        <f>[1]Database!$W$273</f>
        <v>-33.603466569999981</v>
      </c>
      <c r="F123" s="126"/>
      <c r="G123" s="126">
        <f>[1]Database!$AA$273</f>
        <v>239.55189111250007</v>
      </c>
      <c r="H123" s="126">
        <f>[1]Database!$AC$273</f>
        <v>-253.90783720249993</v>
      </c>
      <c r="I123" s="126">
        <f>[1]Database!$AK$273</f>
        <v>56.423000000000002</v>
      </c>
      <c r="J123" s="126">
        <f>[1]Database!$AN$273</f>
        <v>434.89772831499999</v>
      </c>
      <c r="K123" s="126">
        <f>[1]Database!$AQ$273</f>
        <v>2.1389999999999998</v>
      </c>
      <c r="L123" s="127">
        <f>[1]Database!$AU$273+[1]Database!$AV$273-[1]Database!$AW$273</f>
        <v>-233.15718217250165</v>
      </c>
      <c r="M123" s="138"/>
      <c r="N123" s="63" t="str">
        <f t="shared" si="89"/>
        <v>2020Q4</v>
      </c>
      <c r="O123" s="141">
        <f>[1]Database!H$273</f>
        <v>709.10141291000002</v>
      </c>
      <c r="P123" s="141">
        <f>[1]Database!I$273</f>
        <v>352.72441291000001</v>
      </c>
      <c r="Q123" s="142">
        <f>[1]Database!J$273</f>
        <v>96.264412910000019</v>
      </c>
      <c r="R123" s="142">
        <f>[1]Database!K$273</f>
        <v>256.45999999999998</v>
      </c>
      <c r="S123" s="142">
        <f>[1]Database!L$273</f>
        <v>356.37700000000001</v>
      </c>
      <c r="T123" s="143">
        <f>[1]Database!M$273</f>
        <v>0</v>
      </c>
      <c r="U123" s="160">
        <f t="shared" si="91"/>
        <v>1.2221335055073723E-12</v>
      </c>
    </row>
    <row r="124" spans="1:21" s="112" customFormat="1" x14ac:dyDescent="0.3">
      <c r="A124" s="63" t="s">
        <v>121</v>
      </c>
      <c r="B124" s="126">
        <f>[1]Database!$H$276</f>
        <v>708.57718569999997</v>
      </c>
      <c r="C124" s="126">
        <f>[1]Database!$N$276</f>
        <v>714.47001235000062</v>
      </c>
      <c r="D124" s="126">
        <f>[1]Database!$O$276+[1]Database!$V$276</f>
        <v>747.49562625000056</v>
      </c>
      <c r="E124" s="126">
        <f>[1]Database!$W$276</f>
        <v>-33.025613899999982</v>
      </c>
      <c r="F124" s="126"/>
      <c r="G124" s="126">
        <f>[1]Database!$AA$276</f>
        <v>225.76783441750007</v>
      </c>
      <c r="H124" s="126">
        <f>[1]Database!$AC$276</f>
        <v>-261.24365950749996</v>
      </c>
      <c r="I124" s="126">
        <f>[1]Database!$AK$276</f>
        <v>54.481999999999999</v>
      </c>
      <c r="J124" s="126">
        <f>[1]Database!$AN$276</f>
        <v>430.60749392500003</v>
      </c>
      <c r="K124" s="126">
        <f>[1]Database!$AQ$276</f>
        <v>1.9219999999999999</v>
      </c>
      <c r="L124" s="127">
        <f>[1]Database!$AU$276+[1]Database!$AV$276-[1]Database!$AW$276</f>
        <v>-231.66066106750171</v>
      </c>
      <c r="M124" s="138"/>
      <c r="N124" s="63" t="str">
        <f t="shared" si="89"/>
        <v>2021Q1</v>
      </c>
      <c r="O124" s="128">
        <f>[1]Database!H$276</f>
        <v>708.57718569999997</v>
      </c>
      <c r="P124" s="128">
        <f>[1]Database!I$276</f>
        <v>339.62918569999999</v>
      </c>
      <c r="Q124" s="139">
        <f>[1]Database!J$276</f>
        <v>86.457185699999997</v>
      </c>
      <c r="R124" s="139">
        <f>[1]Database!K$276</f>
        <v>253.172</v>
      </c>
      <c r="S124" s="139">
        <f>[1]Database!L$276</f>
        <v>368.94799999999998</v>
      </c>
      <c r="T124" s="140">
        <f>[1]Database!M$276</f>
        <v>0</v>
      </c>
      <c r="U124" s="159">
        <f t="shared" ref="U124" si="92">O124-C124-G124-L124</f>
        <v>9.9475983006414026E-13</v>
      </c>
    </row>
    <row r="125" spans="1:21" s="112" customFormat="1" x14ac:dyDescent="0.3">
      <c r="A125" s="63" t="s">
        <v>122</v>
      </c>
      <c r="B125" s="126">
        <f>[1]Database!$H$279</f>
        <v>765.76077975999999</v>
      </c>
      <c r="C125" s="126">
        <f>[1]Database!$N$279</f>
        <v>747.73349659000007</v>
      </c>
      <c r="D125" s="126">
        <f>[1]Database!$O$279+[1]Database!$V$279</f>
        <v>779.10759244000008</v>
      </c>
      <c r="E125" s="126">
        <f>[1]Database!$W$279</f>
        <v>-31.374095849999982</v>
      </c>
      <c r="F125" s="126"/>
      <c r="G125" s="126">
        <f>[1]Database!$AA$279</f>
        <v>223.14359405500011</v>
      </c>
      <c r="H125" s="126">
        <f>[1]Database!$AC$279</f>
        <v>-257.90950590499989</v>
      </c>
      <c r="I125" s="126">
        <f>[1]Database!$AK$279</f>
        <v>50.323999999999998</v>
      </c>
      <c r="J125" s="126">
        <f>[1]Database!$AN$279</f>
        <v>428.80409995999997</v>
      </c>
      <c r="K125" s="126">
        <f>[1]Database!$AQ$279</f>
        <v>1.925</v>
      </c>
      <c r="L125" s="127">
        <f>[1]Database!$AU$279+[1]Database!$AV$279-[1]Database!$AW$279</f>
        <v>-205.11631088500167</v>
      </c>
      <c r="M125" s="138"/>
      <c r="N125" s="63" t="str">
        <f t="shared" si="89"/>
        <v>2021Q2</v>
      </c>
      <c r="O125" s="128">
        <f>[1]Database!H$279</f>
        <v>765.76077975999999</v>
      </c>
      <c r="P125" s="128">
        <f>[1]Database!I$279</f>
        <v>375.12077976</v>
      </c>
      <c r="Q125" s="139">
        <f>[1]Database!J$279</f>
        <v>95.418779760000007</v>
      </c>
      <c r="R125" s="139">
        <f>[1]Database!K$279</f>
        <v>279.702</v>
      </c>
      <c r="S125" s="139">
        <f>[1]Database!L$279</f>
        <v>390.64</v>
      </c>
      <c r="T125" s="140">
        <f>[1]Database!M$279</f>
        <v>0</v>
      </c>
      <c r="U125" s="159">
        <f t="shared" ref="U125:U127" si="93">O125-C125-G125-L125</f>
        <v>1.4779288903810084E-12</v>
      </c>
    </row>
    <row r="126" spans="1:21" s="112" customFormat="1" x14ac:dyDescent="0.3">
      <c r="A126" s="161" t="s">
        <v>123</v>
      </c>
      <c r="B126" s="126">
        <f>[1]Database!$H$282</f>
        <v>783.79384871000002</v>
      </c>
      <c r="C126" s="126">
        <f>[1]Database!$N$282</f>
        <v>742.79080490000001</v>
      </c>
      <c r="D126" s="126">
        <f>[1]Database!$O$282+[1]Database!$V$282</f>
        <v>817.58615936000001</v>
      </c>
      <c r="E126" s="126">
        <f>[1]Database!$W$282</f>
        <v>-74.795354459999984</v>
      </c>
      <c r="F126" s="126"/>
      <c r="G126" s="126">
        <f>[1]Database!$AA$282</f>
        <v>255.37389574000014</v>
      </c>
      <c r="H126" s="126">
        <f>[1]Database!$AC$282</f>
        <v>-219.51792791999986</v>
      </c>
      <c r="I126" s="126">
        <f>[1]Database!$AK$282</f>
        <v>48.640999999999998</v>
      </c>
      <c r="J126" s="126">
        <f>[1]Database!$AN$282</f>
        <v>424.41282366000002</v>
      </c>
      <c r="K126" s="126">
        <f>[1]Database!$AQ$282</f>
        <v>1.8380000000000001</v>
      </c>
      <c r="L126" s="127">
        <f>[1]Database!$AU$282+[1]Database!$AV$282-[1]Database!$AW$282</f>
        <v>-214.37085193000127</v>
      </c>
      <c r="M126" s="138"/>
      <c r="N126" s="161" t="str">
        <f t="shared" si="89"/>
        <v>2021Q3</v>
      </c>
      <c r="O126" s="128">
        <f>[1]Database!H$282</f>
        <v>783.79384871000002</v>
      </c>
      <c r="P126" s="128">
        <f>[1]Database!I$282</f>
        <v>380.98984870999999</v>
      </c>
      <c r="Q126" s="139">
        <f>[1]Database!J$282</f>
        <v>95.685848710000002</v>
      </c>
      <c r="R126" s="139">
        <f>[1]Database!K$282</f>
        <v>285.30399999999997</v>
      </c>
      <c r="S126" s="139">
        <f>[1]Database!L$282</f>
        <v>402.80399999999997</v>
      </c>
      <c r="T126" s="140">
        <f>[1]Database!M$282</f>
        <v>0</v>
      </c>
      <c r="U126" s="159">
        <f t="shared" ref="U126" si="94">O126-C126-G126-L126</f>
        <v>1.1368683772161603E-12</v>
      </c>
    </row>
    <row r="127" spans="1:21" s="112" customFormat="1" x14ac:dyDescent="0.3">
      <c r="A127" s="63" t="s">
        <v>124</v>
      </c>
      <c r="B127" s="126">
        <f>[1]Database!$H$285</f>
        <v>822.87256848999994</v>
      </c>
      <c r="C127" s="126">
        <f>[1]Database!$N$285</f>
        <v>795.23350363999964</v>
      </c>
      <c r="D127" s="126">
        <f>[1]Database!$O$285+[1]Database!$V$285</f>
        <v>873.69664714999965</v>
      </c>
      <c r="E127" s="126">
        <f>[1]Database!$W$285</f>
        <v>-78.463143509999981</v>
      </c>
      <c r="F127" s="126"/>
      <c r="G127" s="126">
        <f>[1]Database!$AA$285</f>
        <v>240.43828412500011</v>
      </c>
      <c r="H127" s="126">
        <f>[1]Database!$AC$285</f>
        <v>-230.0982425549999</v>
      </c>
      <c r="I127" s="126">
        <f>[1]Database!$AK$285</f>
        <v>46.326999999999998</v>
      </c>
      <c r="J127" s="126">
        <f>[1]Database!$AN$285</f>
        <v>422.21952668</v>
      </c>
      <c r="K127" s="126">
        <f>[1]Database!$AQ$285</f>
        <v>1.99</v>
      </c>
      <c r="L127" s="127">
        <f>[1]Database!$AU$285+[1]Database!$AV$285-[1]Database!$AW$285</f>
        <v>-212.79921927500081</v>
      </c>
      <c r="M127" s="138"/>
      <c r="N127" s="63" t="str">
        <f t="shared" si="89"/>
        <v>2021Q4</v>
      </c>
      <c r="O127" s="128">
        <f>[1]Database!H$285</f>
        <v>822.87256848999994</v>
      </c>
      <c r="P127" s="128">
        <f>[1]Database!I$285</f>
        <v>410.13656848999995</v>
      </c>
      <c r="Q127" s="139">
        <f>[1]Database!J$285</f>
        <v>108.30856849</v>
      </c>
      <c r="R127" s="139">
        <f>[1]Database!K$285</f>
        <v>301.82799999999997</v>
      </c>
      <c r="S127" s="139">
        <f>[1]Database!L$285</f>
        <v>412.73599999999999</v>
      </c>
      <c r="T127" s="140">
        <f>[1]Database!M$285</f>
        <v>0</v>
      </c>
      <c r="U127" s="159">
        <f t="shared" si="93"/>
        <v>9.9475983006414026E-13</v>
      </c>
    </row>
    <row r="128" spans="1:21" s="112" customFormat="1" x14ac:dyDescent="0.3">
      <c r="A128" s="161" t="s">
        <v>125</v>
      </c>
      <c r="B128" s="126">
        <f>[1]Database!$H$288</f>
        <v>844.89906262</v>
      </c>
      <c r="C128" s="126">
        <f>[1]Database!$N$288</f>
        <v>852.81110959000011</v>
      </c>
      <c r="D128" s="126">
        <f>[1]Database!$O$288+[1]Database!$V$288</f>
        <v>927.61466772000006</v>
      </c>
      <c r="E128" s="126">
        <f>[1]Database!$W$288</f>
        <v>-74.803558129999985</v>
      </c>
      <c r="F128" s="126"/>
      <c r="G128" s="126">
        <f>[1]Database!$AA$288</f>
        <v>218.98053869000009</v>
      </c>
      <c r="H128" s="126">
        <f>[1]Database!$AC$288</f>
        <v>-257.06953459999988</v>
      </c>
      <c r="I128" s="126">
        <f>[1]Database!$AK$288</f>
        <v>44.472999999999999</v>
      </c>
      <c r="J128" s="126">
        <f>[1]Database!$AN$288</f>
        <v>429.89807328999996</v>
      </c>
      <c r="K128" s="126">
        <f>[1]Database!$AQ$288</f>
        <v>1.679</v>
      </c>
      <c r="L128" s="127">
        <f>[1]Database!$AU$288+[1]Database!$AV$288-[1]Database!$AW$288</f>
        <v>-226.89258566000015</v>
      </c>
      <c r="M128" s="138"/>
      <c r="N128" s="161" t="str">
        <f t="shared" si="89"/>
        <v>2022Q1</v>
      </c>
      <c r="O128" s="128">
        <f>[1]Database!H$288</f>
        <v>844.89906262</v>
      </c>
      <c r="P128" s="128">
        <f>[1]Database!I$288</f>
        <v>437.11006262000001</v>
      </c>
      <c r="Q128" s="139">
        <f>[1]Database!J$288</f>
        <v>115.93206262000004</v>
      </c>
      <c r="R128" s="139">
        <f>[1]Database!K$288</f>
        <v>321.178</v>
      </c>
      <c r="S128" s="139">
        <f>[1]Database!L$288</f>
        <v>407.78899999999999</v>
      </c>
      <c r="T128" s="140">
        <f>[1]Database!M$288</f>
        <v>0</v>
      </c>
      <c r="U128" s="159">
        <f t="shared" ref="U128:U134" si="95">O128-C128-G128-L128</f>
        <v>0</v>
      </c>
    </row>
    <row r="129" spans="1:21" s="112" customFormat="1" x14ac:dyDescent="0.3">
      <c r="A129" s="63" t="s">
        <v>126</v>
      </c>
      <c r="B129" s="126">
        <f>[1]Database!$H$291</f>
        <v>846.68426681999995</v>
      </c>
      <c r="C129" s="126">
        <f>[1]Database!$N$291</f>
        <v>849.90945367000006</v>
      </c>
      <c r="D129" s="126">
        <f>[1]Database!$O$291+[1]Database!$V$291</f>
        <v>923.03219047000005</v>
      </c>
      <c r="E129" s="126">
        <f>[1]Database!$W$291</f>
        <v>-73.122736799999984</v>
      </c>
      <c r="F129" s="126"/>
      <c r="G129" s="126">
        <f>[1]Database!$AA$291</f>
        <v>223.42700594750013</v>
      </c>
      <c r="H129" s="126">
        <f>[1]Database!$AC$291</f>
        <v>-257.12703477749983</v>
      </c>
      <c r="I129" s="126">
        <f>[1]Database!$AK$291</f>
        <v>45.959000000000003</v>
      </c>
      <c r="J129" s="126">
        <f>[1]Database!$AN$291</f>
        <v>432.46904072499996</v>
      </c>
      <c r="K129" s="126">
        <f>[1]Database!$AQ$291</f>
        <v>2.1259999999999999</v>
      </c>
      <c r="L129" s="127">
        <f>[1]Database!$AU$291+[1]Database!$AV$291-[1]Database!$AW$291</f>
        <v>-226.65219279750002</v>
      </c>
      <c r="M129" s="138"/>
      <c r="N129" s="63" t="str">
        <f t="shared" si="89"/>
        <v>2022Q2</v>
      </c>
      <c r="O129" s="128">
        <f>[1]Database!H$291</f>
        <v>846.68426681999995</v>
      </c>
      <c r="P129" s="128">
        <f>[1]Database!I$291</f>
        <v>428.20826681999995</v>
      </c>
      <c r="Q129" s="139">
        <f>[1]Database!J$291</f>
        <v>108.58226681999999</v>
      </c>
      <c r="R129" s="139">
        <f>[1]Database!K$291</f>
        <v>319.62599999999998</v>
      </c>
      <c r="S129" s="139">
        <f>[1]Database!L$291</f>
        <v>418.476</v>
      </c>
      <c r="T129" s="140">
        <f>[1]Database!M$291</f>
        <v>0</v>
      </c>
      <c r="U129" s="159">
        <f t="shared" si="95"/>
        <v>-2.2737367544323206E-13</v>
      </c>
    </row>
    <row r="130" spans="1:21" s="112" customFormat="1" x14ac:dyDescent="0.3">
      <c r="A130" s="63" t="s">
        <v>127</v>
      </c>
      <c r="B130" s="126">
        <f>[1]Database!$H$294</f>
        <v>843.37744367999994</v>
      </c>
      <c r="C130" s="126">
        <f>[1]Database!$N$294</f>
        <v>875.01275300000032</v>
      </c>
      <c r="D130" s="126">
        <f>[1]Database!$O$294+[1]Database!$V$294</f>
        <v>949.93142257000034</v>
      </c>
      <c r="E130" s="126">
        <f>[1]Database!$W$294</f>
        <v>-74.918669569999992</v>
      </c>
      <c r="F130" s="126"/>
      <c r="G130" s="126">
        <f>[1]Database!$AA$294</f>
        <v>200.86577790250013</v>
      </c>
      <c r="H130" s="126">
        <f>[1]Database!$AC$294</f>
        <v>-286.10291013249986</v>
      </c>
      <c r="I130" s="126">
        <f>[1]Database!$AK$294</f>
        <v>45.271999999999998</v>
      </c>
      <c r="J130" s="126">
        <f>[1]Database!$AN$294</f>
        <v>439.52768803499998</v>
      </c>
      <c r="K130" s="126">
        <f>[1]Database!$AQ$294</f>
        <v>2.169</v>
      </c>
      <c r="L130" s="127">
        <f>[1]Database!$AU$294+[1]Database!$AV$294-[1]Database!$AW$294</f>
        <v>-232.50108722249971</v>
      </c>
      <c r="M130" s="138"/>
      <c r="N130" s="63" t="str">
        <f t="shared" si="89"/>
        <v>2022Q3</v>
      </c>
      <c r="O130" s="128">
        <f>[1]Database!H$294</f>
        <v>843.37744367999994</v>
      </c>
      <c r="P130" s="128">
        <f>[1]Database!I$294</f>
        <v>421.11044368</v>
      </c>
      <c r="Q130" s="139">
        <f>[1]Database!J$294</f>
        <v>104.29544368000001</v>
      </c>
      <c r="R130" s="139">
        <f>[1]Database!K$294</f>
        <v>316.815</v>
      </c>
      <c r="S130" s="139">
        <f>[1]Database!L$294</f>
        <v>422.267</v>
      </c>
      <c r="T130" s="140">
        <f>[1]Database!M$294</f>
        <v>0</v>
      </c>
      <c r="U130" s="159">
        <f t="shared" si="95"/>
        <v>-7.9580786405131221E-13</v>
      </c>
    </row>
    <row r="131" spans="1:21" s="112" customFormat="1" x14ac:dyDescent="0.3">
      <c r="A131" s="63" t="s">
        <v>128</v>
      </c>
      <c r="B131" s="126">
        <f>[1]Database!$H$297</f>
        <v>851.18793737999999</v>
      </c>
      <c r="C131" s="126">
        <f>[1]Database!$N$297</f>
        <v>858.1226668200004</v>
      </c>
      <c r="D131" s="126">
        <f>[1]Database!$O$297+[1]Database!$V$297</f>
        <v>932.12476597000034</v>
      </c>
      <c r="E131" s="126">
        <f>[1]Database!$W$297</f>
        <v>-74.002099149999978</v>
      </c>
      <c r="F131" s="126"/>
      <c r="G131" s="126">
        <f>[1]Database!$AA$297</f>
        <v>233.32589139500016</v>
      </c>
      <c r="H131" s="126">
        <f>[1]Database!$AC$297</f>
        <v>-264.13651276499985</v>
      </c>
      <c r="I131" s="126">
        <f>[1]Database!$AK$297</f>
        <v>38.725999999999999</v>
      </c>
      <c r="J131" s="126">
        <f>[1]Database!$AN$297</f>
        <v>454.69840416</v>
      </c>
      <c r="K131" s="126">
        <f>[1]Database!$AQ$297</f>
        <v>4.0380000000000003</v>
      </c>
      <c r="L131" s="127">
        <f>[1]Database!$AU$297+[1]Database!$AV$297-[1]Database!$AW$297</f>
        <v>-240.26062083499957</v>
      </c>
      <c r="M131" s="138"/>
      <c r="N131" s="63" t="str">
        <f t="shared" si="89"/>
        <v>2022Q4</v>
      </c>
      <c r="O131" s="128">
        <f>[1]Database!H$297</f>
        <v>851.18793737999999</v>
      </c>
      <c r="P131" s="128">
        <f>[1]Database!I$297</f>
        <v>434.43193738000002</v>
      </c>
      <c r="Q131" s="139">
        <f>[1]Database!J$297</f>
        <v>102.91593738</v>
      </c>
      <c r="R131" s="139">
        <f>[1]Database!K$297</f>
        <v>331.51600000000002</v>
      </c>
      <c r="S131" s="139">
        <f>[1]Database!L$297</f>
        <v>416.75599999999997</v>
      </c>
      <c r="T131" s="140">
        <f>[1]Database!M$297</f>
        <v>0</v>
      </c>
      <c r="U131" s="159">
        <f t="shared" si="95"/>
        <v>-9.9475983006414026E-13</v>
      </c>
    </row>
    <row r="132" spans="1:21" s="112" customFormat="1" x14ac:dyDescent="0.3">
      <c r="A132" s="63" t="s">
        <v>129</v>
      </c>
      <c r="B132" s="126">
        <f>[1]Database!$H$300</f>
        <v>843.63900470999999</v>
      </c>
      <c r="C132" s="126">
        <f>[1]Database!$N$300</f>
        <v>872.64848307000045</v>
      </c>
      <c r="D132" s="126">
        <f>[1]Database!$O$300+[1]Database!$V$300</f>
        <v>945.43469932000039</v>
      </c>
      <c r="E132" s="126">
        <f>[1]Database!$W$300</f>
        <v>-72.786216249999981</v>
      </c>
      <c r="F132" s="126"/>
      <c r="G132" s="126">
        <f>[1]Database!$AA$300</f>
        <v>220.32481956250004</v>
      </c>
      <c r="H132" s="126">
        <f>[1]Database!$AC$300</f>
        <v>-289.5062763224999</v>
      </c>
      <c r="I132" s="126">
        <f>[1]Database!$AK$300</f>
        <v>37.183999999999997</v>
      </c>
      <c r="J132" s="126">
        <f>[1]Database!$AN$300</f>
        <v>451.73809588499995</v>
      </c>
      <c r="K132" s="126">
        <f>[1]Database!$AQ$300</f>
        <v>20.908999999999999</v>
      </c>
      <c r="L132" s="127">
        <f>[1]Database!$AU$300+[1]Database!$AV$300-[1]Database!$AW$300</f>
        <v>-249.33429792249953</v>
      </c>
      <c r="M132" s="138"/>
      <c r="N132" s="63" t="str">
        <f t="shared" si="89"/>
        <v>2023Q1</v>
      </c>
      <c r="O132" s="128">
        <f>[1]Database!H$300</f>
        <v>843.63900470999999</v>
      </c>
      <c r="P132" s="128">
        <f>[1]Database!I$300</f>
        <v>411.26000470999998</v>
      </c>
      <c r="Q132" s="139">
        <f>[1]Database!J$300</f>
        <v>88.14400470999999</v>
      </c>
      <c r="R132" s="139">
        <f>[1]Database!K$300</f>
        <v>323.11599999999999</v>
      </c>
      <c r="S132" s="139">
        <f>[1]Database!L$300</f>
        <v>432.37900000000002</v>
      </c>
      <c r="T132" s="140">
        <f>[1]Database!M$300</f>
        <v>0</v>
      </c>
      <c r="U132" s="159">
        <f t="shared" si="95"/>
        <v>-9.6633812063373625E-13</v>
      </c>
    </row>
    <row r="133" spans="1:21" s="112" customFormat="1" x14ac:dyDescent="0.3">
      <c r="A133" s="63" t="s">
        <v>130</v>
      </c>
      <c r="B133" s="126">
        <f>[1]Database!$H$303</f>
        <v>841.84791960999996</v>
      </c>
      <c r="C133" s="126">
        <f>[1]Database!$N$303</f>
        <v>887.13018075000036</v>
      </c>
      <c r="D133" s="126">
        <f>[1]Database!$O$303+[1]Database!$V$303</f>
        <v>988.73426768000036</v>
      </c>
      <c r="E133" s="126">
        <f>[1]Database!$W$303</f>
        <v>-101.60408692999998</v>
      </c>
      <c r="F133" s="126"/>
      <c r="G133" s="126">
        <f>[1]Database!$AA$303</f>
        <v>188.24338043250006</v>
      </c>
      <c r="H133" s="126">
        <f>[1]Database!$AC$303</f>
        <v>-325.35869758249993</v>
      </c>
      <c r="I133" s="126">
        <f>[1]Database!$AK$303</f>
        <v>35.927999999999997</v>
      </c>
      <c r="J133" s="126">
        <f>[1]Database!$AN$303</f>
        <v>470.949078015</v>
      </c>
      <c r="K133" s="126">
        <f>[1]Database!$AQ$303</f>
        <v>6.7249999999999996</v>
      </c>
      <c r="L133" s="127">
        <f>[1]Database!$AU$303+[1]Database!$AV$303-[1]Database!$AW$303</f>
        <v>-233.52564157249921</v>
      </c>
      <c r="M133" s="138"/>
      <c r="N133" s="63" t="str">
        <f t="shared" si="89"/>
        <v>2023Q2</v>
      </c>
      <c r="O133" s="128">
        <f>[1]Database!H$303</f>
        <v>841.84791960999996</v>
      </c>
      <c r="P133" s="128">
        <f>[1]Database!I$303</f>
        <v>431.09591961000001</v>
      </c>
      <c r="Q133" s="139">
        <f>[1]Database!J$303</f>
        <v>92.755919610000007</v>
      </c>
      <c r="R133" s="139">
        <f>[1]Database!K$303</f>
        <v>338.34</v>
      </c>
      <c r="S133" s="139">
        <f>[1]Database!L$303</f>
        <v>410.75200000000001</v>
      </c>
      <c r="T133" s="140">
        <f>[1]Database!M$303</f>
        <v>0</v>
      </c>
      <c r="U133" s="159">
        <f t="shared" si="95"/>
        <v>-1.2505552149377763E-12</v>
      </c>
    </row>
    <row r="134" spans="1:21" s="112" customFormat="1" x14ac:dyDescent="0.3">
      <c r="A134" s="63" t="s">
        <v>131</v>
      </c>
      <c r="B134" s="126">
        <f>[1]Database!$H$306</f>
        <v>847.82817724000006</v>
      </c>
      <c r="C134" s="126">
        <f>[1]Database!$N$306</f>
        <v>865.15999915999998</v>
      </c>
      <c r="D134" s="126">
        <f>[1]Database!$O$306+[1]Database!$V$306</f>
        <v>960.06968229999995</v>
      </c>
      <c r="E134" s="126">
        <f>[1]Database!$W$306</f>
        <v>-94.909683139999999</v>
      </c>
      <c r="F134" s="126"/>
      <c r="G134" s="126">
        <f>[1]Database!$AA$306</f>
        <v>221.96540287000005</v>
      </c>
      <c r="H134" s="126">
        <f>[1]Database!$AC$306</f>
        <v>-303.95187470999997</v>
      </c>
      <c r="I134" s="126">
        <f>[1]Database!$AK$306</f>
        <v>33.768000000000001</v>
      </c>
      <c r="J134" s="126">
        <f>[1]Database!$AN$306</f>
        <v>485.77927757999998</v>
      </c>
      <c r="K134" s="126">
        <f>[1]Database!$AQ$306</f>
        <v>6.37</v>
      </c>
      <c r="L134" s="127">
        <f>[1]Database!$AU$306+[1]Database!$AV$306-[1]Database!$AW$306</f>
        <v>-239.29722479000003</v>
      </c>
      <c r="M134" s="138"/>
      <c r="N134" s="63" t="str">
        <f t="shared" si="89"/>
        <v>2023Q3</v>
      </c>
      <c r="O134" s="128">
        <f>[1]Database!H$306</f>
        <v>847.82817724000006</v>
      </c>
      <c r="P134" s="128">
        <f>[1]Database!I$306</f>
        <v>437.69417723999999</v>
      </c>
      <c r="Q134" s="139">
        <f>[1]Database!J$306</f>
        <v>88.939177240000006</v>
      </c>
      <c r="R134" s="139">
        <f>[1]Database!K$306</f>
        <v>348.755</v>
      </c>
      <c r="S134" s="139">
        <f>[1]Database!L$306</f>
        <v>410.13400000000001</v>
      </c>
      <c r="T134" s="140">
        <f>[1]Database!M$306</f>
        <v>0</v>
      </c>
      <c r="U134" s="159">
        <f t="shared" si="95"/>
        <v>0</v>
      </c>
    </row>
    <row r="135" spans="1:21" s="112" customFormat="1" x14ac:dyDescent="0.3">
      <c r="A135" s="63" t="s">
        <v>190</v>
      </c>
      <c r="B135" s="126">
        <f>[1]Database!$H$309</f>
        <v>868.13511687000005</v>
      </c>
      <c r="C135" s="126">
        <f>[1]Database!$N$309</f>
        <v>880.6444988400001</v>
      </c>
      <c r="D135" s="126">
        <f>[1]Database!$O$309+[1]Database!$V$309</f>
        <v>976.18643214000008</v>
      </c>
      <c r="E135" s="126">
        <f>[1]Database!$W$309</f>
        <v>-95.541933300000011</v>
      </c>
      <c r="F135" s="126"/>
      <c r="G135" s="126">
        <f>[1]Database!$AA$309</f>
        <v>245.28144468249997</v>
      </c>
      <c r="H135" s="126">
        <f>[1]Database!$AC$309</f>
        <v>-295.75353985250001</v>
      </c>
      <c r="I135" s="126">
        <f>[1]Database!$AK$309</f>
        <v>35.75</v>
      </c>
      <c r="J135" s="126">
        <f>[1]Database!$AN$309</f>
        <v>497.72198453499999</v>
      </c>
      <c r="K135" s="126">
        <f>[1]Database!$AQ$309</f>
        <v>7.5629999999999997</v>
      </c>
      <c r="L135" s="127">
        <f>[1]Database!$AU$309+[1]Database!$AV$309-[1]Database!$AW$309</f>
        <v>-257.79082665250007</v>
      </c>
      <c r="M135" s="138"/>
      <c r="N135" s="63" t="str">
        <f t="shared" ref="N135" si="96">A135</f>
        <v>2023Q4</v>
      </c>
      <c r="O135" s="128">
        <f>[1]Database!H$309</f>
        <v>868.13511687000005</v>
      </c>
      <c r="P135" s="128">
        <f>[1]Database!I$309</f>
        <v>452.10211687000003</v>
      </c>
      <c r="Q135" s="139">
        <f>[1]Database!J$309</f>
        <v>101.44211687000002</v>
      </c>
      <c r="R135" s="139">
        <f>[1]Database!K$309</f>
        <v>350.66</v>
      </c>
      <c r="S135" s="139">
        <f>[1]Database!L$309</f>
        <v>416.03300000000002</v>
      </c>
      <c r="T135" s="140">
        <f>[1]Database!M$309</f>
        <v>0</v>
      </c>
      <c r="U135" s="159">
        <f t="shared" ref="U135" si="97">O135-C135-G135-L135</f>
        <v>0</v>
      </c>
    </row>
    <row r="136" spans="1:21" s="112" customFormat="1" x14ac:dyDescent="0.3">
      <c r="A136" s="63" t="s">
        <v>191</v>
      </c>
      <c r="B136" s="126">
        <f>[1]Database!$H$312</f>
        <v>852.98585926999999</v>
      </c>
      <c r="C136" s="126">
        <f>[1]Database!$N$312</f>
        <v>847.71407892999991</v>
      </c>
      <c r="D136" s="126">
        <f>[1]Database!$O$312+[1]Database!$V$312</f>
        <v>944.95687339999995</v>
      </c>
      <c r="E136" s="126">
        <f>[1]Database!$W$312</f>
        <v>-97.242794470000007</v>
      </c>
      <c r="F136" s="126"/>
      <c r="G136" s="126">
        <f>[1]Database!$AA$312</f>
        <v>261.3135858375</v>
      </c>
      <c r="H136" s="126">
        <f>[1]Database!$AC$312</f>
        <v>-279.14368349749998</v>
      </c>
      <c r="I136" s="126">
        <f>[1]Database!$AK$312</f>
        <v>29.256</v>
      </c>
      <c r="J136" s="126">
        <f>[1]Database!$AN$312</f>
        <v>503.17726933500001</v>
      </c>
      <c r="K136" s="126">
        <f>[1]Database!$AQ$312</f>
        <v>8.0239999999999991</v>
      </c>
      <c r="L136" s="127">
        <f>[1]Database!$AU$312+[1]Database!$AV$312-[1]Database!$AW$312</f>
        <v>-256.04180549750004</v>
      </c>
      <c r="M136" s="138"/>
      <c r="N136" s="63" t="str">
        <f t="shared" ref="N136" si="98">A136</f>
        <v>2024Q1</v>
      </c>
      <c r="O136" s="128">
        <f>[1]Database!H$312</f>
        <v>852.98585926999999</v>
      </c>
      <c r="P136" s="128">
        <f>[1]Database!I$312</f>
        <v>445.06685927000001</v>
      </c>
      <c r="Q136" s="139">
        <f>[1]Database!J$312</f>
        <v>90.794859270000003</v>
      </c>
      <c r="R136" s="139">
        <f>[1]Database!K$312</f>
        <v>354.27199999999999</v>
      </c>
      <c r="S136" s="139">
        <f>[1]Database!L$312</f>
        <v>407.91899999999998</v>
      </c>
      <c r="T136" s="140">
        <f>[1]Database!M$312</f>
        <v>0</v>
      </c>
      <c r="U136" s="159">
        <f t="shared" ref="U136" si="99">O136-C136-G136-L136</f>
        <v>0</v>
      </c>
    </row>
    <row r="137" spans="1:21" s="112" customFormat="1" x14ac:dyDescent="0.3">
      <c r="A137" s="63" t="s">
        <v>192</v>
      </c>
      <c r="B137" s="126">
        <f>[1]Database!$H$315</f>
        <v>906.05136768</v>
      </c>
      <c r="C137" s="126">
        <f>[1]Database!$N$315</f>
        <v>935.04395810000017</v>
      </c>
      <c r="D137" s="126">
        <f>[1]Database!$O$315+[1]Database!$V$315</f>
        <v>1005.5622297400001</v>
      </c>
      <c r="E137" s="126">
        <f>[1]Database!$W$315</f>
        <v>-70.518271639999995</v>
      </c>
      <c r="F137" s="126"/>
      <c r="G137" s="126">
        <f>[1]Database!$AA$315</f>
        <v>215.08570868000004</v>
      </c>
      <c r="H137" s="126">
        <f>[1]Database!$AC$315</f>
        <v>-325.30786890999997</v>
      </c>
      <c r="I137" s="126">
        <f>[1]Database!$AK$315</f>
        <v>26.943000000000001</v>
      </c>
      <c r="J137" s="126">
        <f>[1]Database!$AN$315</f>
        <v>505.53757759000001</v>
      </c>
      <c r="K137" s="126">
        <f>[1]Database!$AQ$315</f>
        <v>7.9130000000000003</v>
      </c>
      <c r="L137" s="127">
        <f>[1]Database!$AU$315+[1]Database!$AV$315-[1]Database!$AW$315</f>
        <v>-244.07829909999998</v>
      </c>
      <c r="M137" s="138"/>
      <c r="N137" s="63" t="str">
        <f t="shared" ref="N137" si="100">A137</f>
        <v>2024Q2</v>
      </c>
      <c r="O137" s="128">
        <f>[1]Database!H$315</f>
        <v>906.05136768</v>
      </c>
      <c r="P137" s="128">
        <f>[1]Database!I$315</f>
        <v>499.10236767999999</v>
      </c>
      <c r="Q137" s="139">
        <f>[1]Database!J$315</f>
        <v>98.934367679999994</v>
      </c>
      <c r="R137" s="139">
        <f>[1]Database!K$315</f>
        <v>400.16800000000001</v>
      </c>
      <c r="S137" s="139">
        <f>[1]Database!L$315</f>
        <v>406.94900000000001</v>
      </c>
      <c r="T137" s="140">
        <f>[1]Database!M$315</f>
        <v>0</v>
      </c>
      <c r="U137" s="159">
        <f t="shared" ref="U137" si="101">O137-C137-G137-L137</f>
        <v>-2.2737367544323206E-13</v>
      </c>
    </row>
    <row r="138" spans="1:21" s="112" customFormat="1" x14ac:dyDescent="0.3">
      <c r="A138" s="63" t="s">
        <v>194</v>
      </c>
      <c r="B138" s="126">
        <f>[1]Database!$H$318</f>
        <v>901.57953216999999</v>
      </c>
      <c r="C138" s="126">
        <f>[1]Database!$N$318</f>
        <v>891.26368248000006</v>
      </c>
      <c r="D138" s="126">
        <f>[1]Database!$O$318+[1]Database!$V$318</f>
        <v>964.36052711000002</v>
      </c>
      <c r="E138" s="126">
        <f>[1]Database!$W$318</f>
        <v>-73.096844629999993</v>
      </c>
      <c r="F138" s="126"/>
      <c r="G138" s="126">
        <f>[1]Database!$AA$318</f>
        <v>248.52021801000006</v>
      </c>
      <c r="H138" s="126">
        <f>[1]Database!$AC$318</f>
        <v>-299.13508297999999</v>
      </c>
      <c r="I138" s="126">
        <f>[1]Database!$AK$318</f>
        <v>26.957000000000001</v>
      </c>
      <c r="J138" s="126">
        <f>[1]Database!$AN$318</f>
        <v>512.79230099000006</v>
      </c>
      <c r="K138" s="126">
        <f>[1]Database!$AQ$318</f>
        <v>7.9059999999999997</v>
      </c>
      <c r="L138" s="127">
        <f>[1]Database!$AU$318+[1]Database!$AV$318-[1]Database!$AW$318</f>
        <v>-238.20436650000005</v>
      </c>
      <c r="M138" s="138"/>
      <c r="N138" s="63" t="str">
        <f t="shared" ref="N138" si="102">A138</f>
        <v>2024Q3</v>
      </c>
      <c r="O138" s="128">
        <f>[1]Database!H$318</f>
        <v>901.57953216999999</v>
      </c>
      <c r="P138" s="128">
        <f>[1]Database!I$318</f>
        <v>481.87853216999997</v>
      </c>
      <c r="Q138" s="139">
        <f>[1]Database!J$318</f>
        <v>94.861532170000004</v>
      </c>
      <c r="R138" s="139">
        <f>[1]Database!K$318</f>
        <v>387.017</v>
      </c>
      <c r="S138" s="139">
        <f>[1]Database!L$318</f>
        <v>419.70100000000002</v>
      </c>
      <c r="T138" s="140">
        <f>[1]Database!M$318</f>
        <v>0</v>
      </c>
      <c r="U138" s="159">
        <f t="shared" ref="U138" si="103">O138-C138-G138-L138</f>
        <v>-1.8200000795332016E-6</v>
      </c>
    </row>
    <row r="139" spans="1:21" s="112" customFormat="1" x14ac:dyDescent="0.3">
      <c r="A139" s="164" t="s">
        <v>248</v>
      </c>
      <c r="B139" s="126">
        <f>[1]Database!$H$321</f>
        <v>937.45848649999994</v>
      </c>
      <c r="C139" s="126">
        <f>[1]Database!$N$321</f>
        <v>892.94548729000007</v>
      </c>
      <c r="D139" s="126">
        <f>[1]Database!$O$321+[1]Database!$V$321</f>
        <v>968.95862095000007</v>
      </c>
      <c r="E139" s="126">
        <f>[1]Database!$W$321</f>
        <v>-76.013133659999994</v>
      </c>
      <c r="F139" s="126"/>
      <c r="G139" s="126">
        <f>[1]Database!$AA$321</f>
        <v>297.94817833249999</v>
      </c>
      <c r="H139" s="126">
        <f>[1]Database!$AC$321</f>
        <v>-304.42219417250004</v>
      </c>
      <c r="I139" s="126">
        <f>[1]Database!$AK$321</f>
        <v>59.777000000000001</v>
      </c>
      <c r="J139" s="126">
        <f>[1]Database!$AN$321</f>
        <v>534.92137250500002</v>
      </c>
      <c r="K139" s="126">
        <f>[1]Database!$AQ$321</f>
        <v>7.6719999999999997</v>
      </c>
      <c r="L139" s="127">
        <f>[1]Database!$AU$321+[1]Database!$AV$321-[1]Database!$AW$321</f>
        <v>-253.43517912250007</v>
      </c>
      <c r="M139" s="138"/>
      <c r="N139" s="164" t="str">
        <f t="shared" ref="N139:N140" si="104">A139</f>
        <v>2024Q4</v>
      </c>
      <c r="O139" s="128">
        <f>[1]Database!H$321</f>
        <v>937.45848649999994</v>
      </c>
      <c r="P139" s="128">
        <f>[1]Database!I$321</f>
        <v>539.87048649999997</v>
      </c>
      <c r="Q139" s="139">
        <f>[1]Database!J$321</f>
        <v>110.24748649999999</v>
      </c>
      <c r="R139" s="139">
        <f>[1]Database!K$321</f>
        <v>429.62299999999999</v>
      </c>
      <c r="S139" s="139">
        <f>[1]Database!L$321</f>
        <v>397.58800000000002</v>
      </c>
      <c r="T139" s="140">
        <f>[1]Database!M$321</f>
        <v>0</v>
      </c>
      <c r="U139" s="159">
        <f>O139-C139-G139-L139</f>
        <v>0</v>
      </c>
    </row>
    <row r="140" spans="1:21" s="112" customFormat="1" x14ac:dyDescent="0.3">
      <c r="A140" s="163" t="s">
        <v>249</v>
      </c>
      <c r="B140" s="165">
        <f>[1]Database!$H$324</f>
        <v>914.11412695000001</v>
      </c>
      <c r="C140" s="165">
        <f>[1]Database!$N$324</f>
        <v>846.47647389000008</v>
      </c>
      <c r="D140" s="165">
        <f>[1]Database!$O$324+[1]Database!$V$324</f>
        <v>921.38418862000003</v>
      </c>
      <c r="E140" s="165">
        <f>[1]Database!$W$324</f>
        <v>-74.907714730000009</v>
      </c>
      <c r="F140" s="165"/>
      <c r="G140" s="165">
        <f>[1]Database!$AA$324</f>
        <v>326.4102763075</v>
      </c>
      <c r="H140" s="165">
        <f>[1]Database!$AC$324</f>
        <v>-291.04160462750002</v>
      </c>
      <c r="I140" s="165">
        <f>[1]Database!$AK$324</f>
        <v>61.728000000000002</v>
      </c>
      <c r="J140" s="165">
        <f>[1]Database!$AN$324</f>
        <v>547.882880935</v>
      </c>
      <c r="K140" s="165">
        <f>[1]Database!$AQ$324</f>
        <v>7.8410000000000002</v>
      </c>
      <c r="L140" s="162">
        <f>[1]Database!$AU$324+[1]Database!$AV$324-[1]Database!$AW$324</f>
        <v>-258.77262147749997</v>
      </c>
      <c r="M140" s="138"/>
      <c r="N140" s="163" t="str">
        <f t="shared" si="104"/>
        <v>2025Q1</v>
      </c>
      <c r="O140" s="166">
        <f>[1]Database!H$324</f>
        <v>914.11412695000001</v>
      </c>
      <c r="P140" s="166">
        <f>[1]Database!I$324</f>
        <v>498.05512694999999</v>
      </c>
      <c r="Q140" s="167">
        <f>[1]Database!J$324</f>
        <v>100.21612694999999</v>
      </c>
      <c r="R140" s="167">
        <f>[1]Database!K$324</f>
        <v>397.839</v>
      </c>
      <c r="S140" s="167">
        <f>[1]Database!L$324</f>
        <v>416.05900000000003</v>
      </c>
      <c r="T140" s="168">
        <f>[1]Database!M$324</f>
        <v>0</v>
      </c>
      <c r="U140" s="159">
        <f>O140-C140-G140-L140</f>
        <v>-1.7700000967124652E-6</v>
      </c>
    </row>
    <row r="141" spans="1:21" x14ac:dyDescent="0.3">
      <c r="A141" s="49" t="s">
        <v>64</v>
      </c>
      <c r="B141" s="50"/>
      <c r="C141" s="50"/>
      <c r="D141" s="50"/>
      <c r="E141" s="50"/>
      <c r="F141" s="50"/>
      <c r="G141" s="111"/>
      <c r="H141" s="50"/>
      <c r="I141" s="51"/>
      <c r="J141" s="52"/>
      <c r="K141" s="51"/>
      <c r="L141" s="51"/>
      <c r="M141" s="53"/>
      <c r="N141" s="116" t="s">
        <v>92</v>
      </c>
      <c r="O141" s="123"/>
      <c r="P141" s="46"/>
      <c r="Q141" s="46"/>
      <c r="R141" s="46"/>
      <c r="S141" s="46"/>
      <c r="T141" s="46"/>
      <c r="U141" s="54" t="s">
        <v>32</v>
      </c>
    </row>
    <row r="142" spans="1:21" x14ac:dyDescent="0.3">
      <c r="A142" s="49" t="s">
        <v>189</v>
      </c>
      <c r="B142" s="55"/>
      <c r="I142" s="53"/>
      <c r="J142" s="56"/>
      <c r="K142" s="53"/>
      <c r="L142" s="53"/>
      <c r="M142" s="53"/>
      <c r="N142" s="116" t="s">
        <v>189</v>
      </c>
      <c r="O142" s="124"/>
      <c r="P142" s="57"/>
      <c r="Q142" s="58"/>
      <c r="R142" s="58"/>
      <c r="S142" s="59"/>
      <c r="T142" s="58"/>
      <c r="U142" s="54"/>
    </row>
    <row r="144" spans="1:21" x14ac:dyDescent="0.3">
      <c r="A144" s="156" t="s">
        <v>246</v>
      </c>
      <c r="B144" s="156"/>
      <c r="C144" s="156"/>
      <c r="D144" s="156"/>
      <c r="E144" s="156"/>
      <c r="F144" s="156"/>
      <c r="G144" s="156"/>
      <c r="H144" s="156"/>
      <c r="I144" s="156"/>
    </row>
  </sheetData>
  <mergeCells count="9">
    <mergeCell ref="A2:L2"/>
    <mergeCell ref="N2:T2"/>
    <mergeCell ref="A3:L3"/>
    <mergeCell ref="N3:T3"/>
    <mergeCell ref="B5:B7"/>
    <mergeCell ref="G5:K5"/>
    <mergeCell ref="P5:R5"/>
    <mergeCell ref="S5:S8"/>
    <mergeCell ref="T5:T8"/>
  </mergeCells>
  <pageMargins left="0.7" right="0.7" top="0.75" bottom="0.75" header="0.3" footer="0.3"/>
  <pageSetup paperSize="9" scale="70" orientation="portrait" r:id="rId1"/>
  <colBreaks count="1" manualBreakCount="1">
    <brk id="12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65"/>
  <sheetViews>
    <sheetView topLeftCell="A117" zoomScale="135" zoomScaleNormal="135" workbookViewId="0">
      <selection activeCell="K299" sqref="K299"/>
    </sheetView>
  </sheetViews>
  <sheetFormatPr defaultRowHeight="14.4" x14ac:dyDescent="0.3"/>
  <cols>
    <col min="1" max="1" width="8.77734375" style="153"/>
    <col min="11" max="11" width="20.6640625" customWidth="1"/>
    <col min="12" max="12" width="20.6640625" bestFit="1" customWidth="1"/>
  </cols>
  <sheetData>
    <row r="1" spans="1:10" ht="16.5" customHeight="1" x14ac:dyDescent="0.3">
      <c r="A1" s="95"/>
      <c r="B1" s="64"/>
      <c r="C1" s="64"/>
      <c r="D1" s="64"/>
      <c r="E1" s="64"/>
      <c r="F1" s="64"/>
      <c r="G1" s="64"/>
      <c r="H1" s="64"/>
      <c r="I1" s="64"/>
      <c r="J1" s="65" t="s">
        <v>93</v>
      </c>
    </row>
    <row r="2" spans="1:10" ht="15.75" customHeight="1" x14ac:dyDescent="0.3">
      <c r="A2" s="192" t="s">
        <v>88</v>
      </c>
      <c r="B2" s="192"/>
      <c r="C2" s="192"/>
      <c r="D2" s="192"/>
      <c r="E2" s="192"/>
      <c r="F2" s="192"/>
      <c r="G2" s="192"/>
      <c r="H2" s="192"/>
      <c r="I2" s="192"/>
      <c r="J2" s="192"/>
    </row>
    <row r="3" spans="1:10" ht="15.75" customHeight="1" x14ac:dyDescent="0.3">
      <c r="A3" s="193" t="s">
        <v>4</v>
      </c>
      <c r="B3" s="193"/>
      <c r="C3" s="193"/>
      <c r="D3" s="193"/>
      <c r="E3" s="193"/>
      <c r="F3" s="193"/>
      <c r="G3" s="193"/>
      <c r="H3" s="193"/>
      <c r="I3" s="193"/>
      <c r="J3" s="193"/>
    </row>
    <row r="4" spans="1:10" ht="12" customHeight="1" x14ac:dyDescent="0.3">
      <c r="A4" s="145"/>
      <c r="B4" s="132"/>
      <c r="C4" s="132"/>
      <c r="D4" s="132"/>
      <c r="E4" s="132"/>
      <c r="F4" s="132"/>
      <c r="G4" s="132"/>
      <c r="H4" s="132"/>
      <c r="I4" s="132"/>
      <c r="J4" s="132"/>
    </row>
    <row r="5" spans="1:10" ht="15" customHeight="1" x14ac:dyDescent="0.3">
      <c r="A5" s="146"/>
      <c r="B5" s="67" t="s">
        <v>69</v>
      </c>
      <c r="C5" s="133"/>
      <c r="D5" s="189" t="s">
        <v>70</v>
      </c>
      <c r="E5" s="189"/>
      <c r="F5" s="189"/>
      <c r="G5" s="189"/>
      <c r="H5" s="189"/>
      <c r="I5" s="189"/>
      <c r="J5" s="190"/>
    </row>
    <row r="6" spans="1:10" ht="15" customHeight="1" x14ac:dyDescent="0.3">
      <c r="A6" s="136" t="s">
        <v>13</v>
      </c>
      <c r="B6" s="68" t="s">
        <v>71</v>
      </c>
      <c r="C6" s="69" t="s">
        <v>69</v>
      </c>
      <c r="D6" s="66"/>
      <c r="E6" s="66"/>
      <c r="F6" s="66"/>
      <c r="G6" s="66"/>
      <c r="H6" s="66"/>
      <c r="I6" s="66"/>
      <c r="J6" s="70"/>
    </row>
    <row r="7" spans="1:10" ht="15" customHeight="1" x14ac:dyDescent="0.3">
      <c r="A7" s="147" t="s">
        <v>23</v>
      </c>
      <c r="B7" s="71" t="s">
        <v>72</v>
      </c>
      <c r="C7" s="71" t="s">
        <v>72</v>
      </c>
      <c r="D7" s="72" t="s">
        <v>73</v>
      </c>
      <c r="E7" s="71" t="s">
        <v>74</v>
      </c>
      <c r="F7" s="71" t="s">
        <v>75</v>
      </c>
      <c r="G7" s="71" t="s">
        <v>76</v>
      </c>
      <c r="H7" s="71" t="s">
        <v>77</v>
      </c>
      <c r="I7" s="73" t="s">
        <v>78</v>
      </c>
      <c r="J7" s="74">
        <v>100</v>
      </c>
    </row>
    <row r="8" spans="1:10" ht="14.55" hidden="1" customHeight="1" x14ac:dyDescent="0.3">
      <c r="A8" s="136" t="s">
        <v>36</v>
      </c>
      <c r="B8" s="75">
        <v>6</v>
      </c>
      <c r="C8" s="75">
        <v>5.18</v>
      </c>
      <c r="D8" s="75">
        <v>0.23</v>
      </c>
      <c r="E8" s="75">
        <v>0.31</v>
      </c>
      <c r="F8" s="75">
        <v>0.56000000000000005</v>
      </c>
      <c r="G8" s="75">
        <v>2.36</v>
      </c>
      <c r="H8" s="75">
        <v>1.66</v>
      </c>
      <c r="I8" s="134" t="s">
        <v>65</v>
      </c>
      <c r="J8" s="135"/>
    </row>
    <row r="9" spans="1:10" ht="14.55" hidden="1" customHeight="1" x14ac:dyDescent="0.3">
      <c r="A9" s="136" t="s">
        <v>37</v>
      </c>
      <c r="B9" s="75">
        <v>6.44</v>
      </c>
      <c r="C9" s="75">
        <v>5.57</v>
      </c>
      <c r="D9" s="75">
        <v>0.25</v>
      </c>
      <c r="E9" s="75">
        <v>0.32</v>
      </c>
      <c r="F9" s="75">
        <v>0.45</v>
      </c>
      <c r="G9" s="75">
        <v>2.25</v>
      </c>
      <c r="H9" s="75">
        <v>2.2400000000000002</v>
      </c>
      <c r="I9" s="134" t="s">
        <v>65</v>
      </c>
      <c r="J9" s="135"/>
    </row>
    <row r="10" spans="1:10" ht="14.55" hidden="1" customHeight="1" x14ac:dyDescent="0.3">
      <c r="A10" s="136" t="s">
        <v>38</v>
      </c>
      <c r="B10" s="75">
        <v>6.58</v>
      </c>
      <c r="C10" s="75">
        <v>5.67</v>
      </c>
      <c r="D10" s="75">
        <v>0.25</v>
      </c>
      <c r="E10" s="75">
        <v>0.31</v>
      </c>
      <c r="F10" s="75">
        <v>0.38</v>
      </c>
      <c r="G10" s="75">
        <v>1.93</v>
      </c>
      <c r="H10" s="75">
        <v>2.34</v>
      </c>
      <c r="I10" s="75">
        <v>0.4</v>
      </c>
      <c r="J10" s="76"/>
    </row>
    <row r="11" spans="1:10" ht="14.55" hidden="1" customHeight="1" x14ac:dyDescent="0.3">
      <c r="A11" s="136" t="s">
        <v>39</v>
      </c>
      <c r="B11" s="77">
        <v>6.02</v>
      </c>
      <c r="C11" s="77">
        <v>5.08</v>
      </c>
      <c r="D11" s="77">
        <v>0.25</v>
      </c>
      <c r="E11" s="77">
        <v>0.32</v>
      </c>
      <c r="F11" s="77">
        <v>0.37</v>
      </c>
      <c r="G11" s="77">
        <v>1.74</v>
      </c>
      <c r="H11" s="77">
        <v>1.99</v>
      </c>
      <c r="I11" s="77">
        <v>0.35</v>
      </c>
      <c r="J11" s="78"/>
    </row>
    <row r="12" spans="1:10" ht="14.55" hidden="1" customHeight="1" x14ac:dyDescent="0.3">
      <c r="A12" s="136" t="s">
        <v>40</v>
      </c>
      <c r="B12" s="77">
        <v>6.25</v>
      </c>
      <c r="C12" s="77">
        <v>5.24</v>
      </c>
      <c r="D12" s="77">
        <v>0.27</v>
      </c>
      <c r="E12" s="77">
        <v>0.31</v>
      </c>
      <c r="F12" s="77">
        <v>0.37</v>
      </c>
      <c r="G12" s="77">
        <v>1.5</v>
      </c>
      <c r="H12" s="77">
        <v>2.0299999999999998</v>
      </c>
      <c r="I12" s="77">
        <v>0.7</v>
      </c>
      <c r="J12" s="78"/>
    </row>
    <row r="13" spans="1:10" ht="14.55" hidden="1" customHeight="1" x14ac:dyDescent="0.3">
      <c r="A13" s="136" t="s">
        <v>41</v>
      </c>
      <c r="B13" s="79">
        <v>6.52</v>
      </c>
      <c r="C13" s="79">
        <v>5.48</v>
      </c>
      <c r="D13" s="79">
        <v>0.28999999999999998</v>
      </c>
      <c r="E13" s="79">
        <v>0.34</v>
      </c>
      <c r="F13" s="79">
        <v>0.37</v>
      </c>
      <c r="G13" s="79">
        <v>1.57</v>
      </c>
      <c r="H13" s="79">
        <v>1.85</v>
      </c>
      <c r="I13" s="79">
        <v>1</v>
      </c>
      <c r="J13" s="80"/>
    </row>
    <row r="14" spans="1:10" ht="14.55" hidden="1" customHeight="1" x14ac:dyDescent="0.3">
      <c r="A14" s="136" t="s">
        <v>42</v>
      </c>
      <c r="B14" s="79">
        <v>6.9</v>
      </c>
      <c r="C14" s="79">
        <v>5.84</v>
      </c>
      <c r="D14" s="79">
        <v>0.3</v>
      </c>
      <c r="E14" s="79">
        <v>0.35</v>
      </c>
      <c r="F14" s="79">
        <v>0.37</v>
      </c>
      <c r="G14" s="79">
        <v>1.8</v>
      </c>
      <c r="H14" s="79">
        <v>2.0099999999999998</v>
      </c>
      <c r="I14" s="79">
        <v>0.95</v>
      </c>
      <c r="J14" s="80"/>
    </row>
    <row r="15" spans="1:10" ht="14.55" hidden="1" customHeight="1" x14ac:dyDescent="0.3">
      <c r="A15" s="137" t="s">
        <v>43</v>
      </c>
      <c r="B15" s="79">
        <v>8.42</v>
      </c>
      <c r="C15" s="79">
        <v>7.29</v>
      </c>
      <c r="D15" s="79">
        <v>0.35</v>
      </c>
      <c r="E15" s="79">
        <v>0.42</v>
      </c>
      <c r="F15" s="79">
        <v>0.5</v>
      </c>
      <c r="G15" s="79">
        <v>2.0499999999999998</v>
      </c>
      <c r="H15" s="79">
        <v>2.71</v>
      </c>
      <c r="I15" s="79">
        <v>1.2</v>
      </c>
      <c r="J15" s="80"/>
    </row>
    <row r="16" spans="1:10" ht="14.55" hidden="1" customHeight="1" x14ac:dyDescent="0.3">
      <c r="A16" s="137" t="s">
        <v>44</v>
      </c>
      <c r="B16" s="79">
        <v>9.09</v>
      </c>
      <c r="C16" s="79">
        <v>7.93</v>
      </c>
      <c r="D16" s="79">
        <v>0.37</v>
      </c>
      <c r="E16" s="79">
        <v>0.43</v>
      </c>
      <c r="F16" s="79">
        <v>0.5</v>
      </c>
      <c r="G16" s="79">
        <v>2.17</v>
      </c>
      <c r="H16" s="79">
        <v>2.6</v>
      </c>
      <c r="I16" s="79">
        <v>1.8</v>
      </c>
      <c r="J16" s="80"/>
    </row>
    <row r="17" spans="1:10" ht="14.55" hidden="1" customHeight="1" x14ac:dyDescent="0.3">
      <c r="A17" s="137" t="s">
        <v>45</v>
      </c>
      <c r="B17" s="79">
        <v>8.14</v>
      </c>
      <c r="C17" s="79">
        <v>6.93</v>
      </c>
      <c r="D17" s="79">
        <v>0.37</v>
      </c>
      <c r="E17" s="79">
        <v>0.45</v>
      </c>
      <c r="F17" s="79">
        <v>0.48</v>
      </c>
      <c r="G17" s="79">
        <v>1.82</v>
      </c>
      <c r="H17" s="79">
        <v>2.2400000000000002</v>
      </c>
      <c r="I17" s="79">
        <v>1.51</v>
      </c>
      <c r="J17" s="80"/>
    </row>
    <row r="18" spans="1:10" ht="14.55" hidden="1" customHeight="1" x14ac:dyDescent="0.3">
      <c r="A18" s="137" t="s">
        <v>46</v>
      </c>
      <c r="B18" s="79">
        <v>8.3000000000000007</v>
      </c>
      <c r="C18" s="79">
        <v>7</v>
      </c>
      <c r="D18" s="79">
        <v>0.4</v>
      </c>
      <c r="E18" s="79">
        <v>0.5</v>
      </c>
      <c r="F18" s="79">
        <v>0.5</v>
      </c>
      <c r="G18" s="79">
        <v>2.1</v>
      </c>
      <c r="H18" s="79">
        <v>2</v>
      </c>
      <c r="I18" s="79">
        <v>1.4</v>
      </c>
      <c r="J18" s="80"/>
    </row>
    <row r="19" spans="1:10" ht="14.55" hidden="1" customHeight="1" x14ac:dyDescent="0.3">
      <c r="A19" s="137" t="s">
        <v>47</v>
      </c>
      <c r="B19" s="79">
        <v>8.3000000000000007</v>
      </c>
      <c r="C19" s="79">
        <v>7</v>
      </c>
      <c r="D19" s="79">
        <v>0.4</v>
      </c>
      <c r="E19" s="79">
        <v>0.5</v>
      </c>
      <c r="F19" s="79">
        <v>0.5</v>
      </c>
      <c r="G19" s="79">
        <v>2.2000000000000002</v>
      </c>
      <c r="H19" s="79">
        <v>1.9</v>
      </c>
      <c r="I19" s="79">
        <v>1.4</v>
      </c>
      <c r="J19" s="80"/>
    </row>
    <row r="20" spans="1:10" ht="14.55" hidden="1" customHeight="1" x14ac:dyDescent="0.3">
      <c r="A20" s="137" t="s">
        <v>48</v>
      </c>
      <c r="B20" s="79">
        <v>9.1999999999999993</v>
      </c>
      <c r="C20" s="79">
        <v>7.9</v>
      </c>
      <c r="D20" s="79">
        <v>0.4</v>
      </c>
      <c r="E20" s="79">
        <v>0.5</v>
      </c>
      <c r="F20" s="79">
        <v>0.5</v>
      </c>
      <c r="G20" s="79">
        <v>2.2000000000000002</v>
      </c>
      <c r="H20" s="79">
        <v>2.4</v>
      </c>
      <c r="I20" s="79">
        <v>1.8</v>
      </c>
      <c r="J20" s="80"/>
    </row>
    <row r="21" spans="1:10" ht="14.55" hidden="1" customHeight="1" x14ac:dyDescent="0.3">
      <c r="A21" s="137" t="s">
        <v>49</v>
      </c>
      <c r="B21" s="79">
        <v>10</v>
      </c>
      <c r="C21" s="79">
        <v>8.6999999999999993</v>
      </c>
      <c r="D21" s="79">
        <v>0.4</v>
      </c>
      <c r="E21" s="79">
        <v>0.5</v>
      </c>
      <c r="F21" s="79">
        <v>0.5</v>
      </c>
      <c r="G21" s="79">
        <v>2.5</v>
      </c>
      <c r="H21" s="79">
        <v>3.4</v>
      </c>
      <c r="I21" s="79">
        <v>1.4</v>
      </c>
      <c r="J21" s="80"/>
    </row>
    <row r="22" spans="1:10" ht="14.55" hidden="1" customHeight="1" x14ac:dyDescent="0.3">
      <c r="A22" s="137" t="s">
        <v>50</v>
      </c>
      <c r="B22" s="79">
        <v>13.2</v>
      </c>
      <c r="C22" s="79">
        <v>11.7</v>
      </c>
      <c r="D22" s="79">
        <v>0.5</v>
      </c>
      <c r="E22" s="79">
        <v>0.6</v>
      </c>
      <c r="F22" s="79">
        <v>0.7</v>
      </c>
      <c r="G22" s="79">
        <v>3.4</v>
      </c>
      <c r="H22" s="79">
        <v>5.6</v>
      </c>
      <c r="I22" s="79">
        <v>0.9</v>
      </c>
      <c r="J22" s="80"/>
    </row>
    <row r="23" spans="1:10" ht="14.55" hidden="1" customHeight="1" x14ac:dyDescent="0.3">
      <c r="A23" s="137" t="s">
        <v>51</v>
      </c>
      <c r="B23" s="79">
        <v>15.1</v>
      </c>
      <c r="C23" s="79">
        <v>13.7</v>
      </c>
      <c r="D23" s="79">
        <v>0.5</v>
      </c>
      <c r="E23" s="79">
        <v>0.7</v>
      </c>
      <c r="F23" s="79">
        <v>0.8</v>
      </c>
      <c r="G23" s="79">
        <v>4</v>
      </c>
      <c r="H23" s="79">
        <v>7.2</v>
      </c>
      <c r="I23" s="79">
        <v>0.5</v>
      </c>
      <c r="J23" s="80">
        <v>0</v>
      </c>
    </row>
    <row r="24" spans="1:10" ht="14.55" hidden="1" customHeight="1" x14ac:dyDescent="0.3">
      <c r="A24" s="137" t="s">
        <v>52</v>
      </c>
      <c r="B24" s="79">
        <v>17</v>
      </c>
      <c r="C24" s="79">
        <v>15.5</v>
      </c>
      <c r="D24" s="79">
        <v>0.6</v>
      </c>
      <c r="E24" s="79">
        <v>0.7</v>
      </c>
      <c r="F24" s="79">
        <v>0.7</v>
      </c>
      <c r="G24" s="79">
        <v>4.4000000000000004</v>
      </c>
      <c r="H24" s="79">
        <v>8.1</v>
      </c>
      <c r="I24" s="79">
        <v>1</v>
      </c>
      <c r="J24" s="80">
        <v>0</v>
      </c>
    </row>
    <row r="25" spans="1:10" ht="14.55" hidden="1" customHeight="1" x14ac:dyDescent="0.3">
      <c r="A25" s="137" t="s">
        <v>53</v>
      </c>
      <c r="B25" s="79">
        <v>17.100000000000001</v>
      </c>
      <c r="C25" s="79">
        <v>15.6</v>
      </c>
      <c r="D25" s="79">
        <v>0.6</v>
      </c>
      <c r="E25" s="79">
        <v>0.8</v>
      </c>
      <c r="F25" s="79">
        <v>0.9</v>
      </c>
      <c r="G25" s="79">
        <v>4.3</v>
      </c>
      <c r="H25" s="79">
        <v>7.4</v>
      </c>
      <c r="I25" s="79">
        <v>1.6</v>
      </c>
      <c r="J25" s="80">
        <v>0</v>
      </c>
    </row>
    <row r="26" spans="1:10" ht="14.55" hidden="1" customHeight="1" x14ac:dyDescent="0.3">
      <c r="A26" s="137" t="s">
        <v>54</v>
      </c>
      <c r="B26" s="79">
        <v>18.5</v>
      </c>
      <c r="C26" s="79">
        <v>16.899999999999999</v>
      </c>
      <c r="D26" s="79">
        <v>0.6</v>
      </c>
      <c r="E26" s="79">
        <v>0.8</v>
      </c>
      <c r="F26" s="79">
        <v>0.8</v>
      </c>
      <c r="G26" s="79">
        <v>3.8</v>
      </c>
      <c r="H26" s="79">
        <v>5.3</v>
      </c>
      <c r="I26" s="79">
        <v>5.5</v>
      </c>
      <c r="J26" s="80">
        <v>0</v>
      </c>
    </row>
    <row r="27" spans="1:10" ht="14.55" hidden="1" customHeight="1" x14ac:dyDescent="0.3">
      <c r="A27" s="137" t="s">
        <v>55</v>
      </c>
      <c r="B27" s="79">
        <v>21.2</v>
      </c>
      <c r="C27" s="79">
        <v>19.5</v>
      </c>
      <c r="D27" s="79">
        <v>0.7</v>
      </c>
      <c r="E27" s="79">
        <v>0.8</v>
      </c>
      <c r="F27" s="79">
        <v>0.8</v>
      </c>
      <c r="G27" s="79">
        <v>4.5</v>
      </c>
      <c r="H27" s="79">
        <v>6.1</v>
      </c>
      <c r="I27" s="79">
        <v>6.6</v>
      </c>
      <c r="J27" s="80">
        <v>0</v>
      </c>
    </row>
    <row r="28" spans="1:10" ht="14.55" hidden="1" customHeight="1" x14ac:dyDescent="0.3">
      <c r="A28" s="137" t="s">
        <v>56</v>
      </c>
      <c r="B28" s="79">
        <v>22.222498460000001</v>
      </c>
      <c r="C28" s="79">
        <v>20.564759000000002</v>
      </c>
      <c r="D28" s="79">
        <v>0.69131050000000005</v>
      </c>
      <c r="E28" s="79">
        <v>0.80398599999999998</v>
      </c>
      <c r="F28" s="79">
        <v>0.87403249999999999</v>
      </c>
      <c r="G28" s="79">
        <v>3.9041700000000001</v>
      </c>
      <c r="H28" s="79">
        <v>6.1478099999999998</v>
      </c>
      <c r="I28" s="79">
        <v>8.1434499999999996</v>
      </c>
      <c r="J28" s="80">
        <v>0</v>
      </c>
    </row>
    <row r="29" spans="1:10" ht="14.55" hidden="1" customHeight="1" x14ac:dyDescent="0.3">
      <c r="A29" s="137" t="s">
        <v>57</v>
      </c>
      <c r="B29" s="79">
        <v>24.12157474</v>
      </c>
      <c r="C29" s="79">
        <v>22.436665999999999</v>
      </c>
      <c r="D29" s="81">
        <v>0.71693600000000002</v>
      </c>
      <c r="E29" s="79">
        <v>0.86829500000000004</v>
      </c>
      <c r="F29" s="79">
        <v>0.93413500000000005</v>
      </c>
      <c r="G29" s="79">
        <v>3.771595</v>
      </c>
      <c r="H29" s="79">
        <v>6.6854300000000002</v>
      </c>
      <c r="I29" s="79">
        <v>9.4602749999999993</v>
      </c>
      <c r="J29" s="80">
        <v>0</v>
      </c>
    </row>
    <row r="30" spans="1:10" ht="14.55" hidden="1" customHeight="1" x14ac:dyDescent="0.3">
      <c r="A30" s="137" t="s">
        <v>58</v>
      </c>
      <c r="B30" s="79">
        <v>28.15270022</v>
      </c>
      <c r="C30" s="79">
        <v>26.429374500000002</v>
      </c>
      <c r="D30" s="81">
        <v>0.78418750000000004</v>
      </c>
      <c r="E30" s="79">
        <v>0.96285699999999996</v>
      </c>
      <c r="F30" s="79">
        <v>1.0436749999999999</v>
      </c>
      <c r="G30" s="79">
        <v>3.7984049999999998</v>
      </c>
      <c r="H30" s="79">
        <v>6.3055500000000002</v>
      </c>
      <c r="I30" s="79">
        <v>12.2377</v>
      </c>
      <c r="J30" s="80">
        <v>1.2969999999999999</v>
      </c>
    </row>
    <row r="31" spans="1:10" ht="14.55" hidden="1" customHeight="1" x14ac:dyDescent="0.3">
      <c r="A31" s="137" t="s">
        <v>59</v>
      </c>
      <c r="B31" s="79">
        <v>32.924678999999998</v>
      </c>
      <c r="C31" s="79">
        <v>31.160041999999997</v>
      </c>
      <c r="D31" s="81">
        <v>0.81762000000000001</v>
      </c>
      <c r="E31" s="79">
        <v>1.0315350000000001</v>
      </c>
      <c r="F31" s="79">
        <v>1.211212</v>
      </c>
      <c r="G31" s="79">
        <v>3.9268399999999999</v>
      </c>
      <c r="H31" s="79">
        <v>8.0506100000000007</v>
      </c>
      <c r="I31" s="79">
        <v>13.522525</v>
      </c>
      <c r="J31" s="80">
        <v>2.5996999999999999</v>
      </c>
    </row>
    <row r="32" spans="1:10" ht="14.55" hidden="1" customHeight="1" x14ac:dyDescent="0.3">
      <c r="A32" s="137" t="s">
        <v>60</v>
      </c>
      <c r="B32" s="79">
        <f>B135</f>
        <v>34.516118900000002</v>
      </c>
      <c r="C32" s="79">
        <f>C135</f>
        <v>32.6981465</v>
      </c>
      <c r="D32" s="81">
        <f>D135</f>
        <v>0.84531149999999999</v>
      </c>
      <c r="E32" s="79">
        <f t="shared" ref="E32:J32" si="0">E135</f>
        <v>1.105145</v>
      </c>
      <c r="F32" s="79">
        <f t="shared" si="0"/>
        <v>1.248305</v>
      </c>
      <c r="G32" s="79">
        <f t="shared" si="0"/>
        <v>3.5064199999999999</v>
      </c>
      <c r="H32" s="79">
        <f t="shared" si="0"/>
        <v>6.9959899999999999</v>
      </c>
      <c r="I32" s="79">
        <f t="shared" si="0"/>
        <v>16.680475000000001</v>
      </c>
      <c r="J32" s="80">
        <f t="shared" si="0"/>
        <v>2.3165</v>
      </c>
    </row>
    <row r="33" spans="1:10" ht="14.55" hidden="1" customHeight="1" x14ac:dyDescent="0.3">
      <c r="A33" s="137" t="s">
        <v>61</v>
      </c>
      <c r="B33" s="79">
        <f t="shared" ref="B33:J33" si="1">B139</f>
        <v>38.480982060000002</v>
      </c>
      <c r="C33" s="79">
        <f t="shared" si="1"/>
        <v>36.572451000000001</v>
      </c>
      <c r="D33" s="81">
        <f t="shared" si="1"/>
        <v>0.89794799999999997</v>
      </c>
      <c r="E33" s="79">
        <f t="shared" si="1"/>
        <v>1.0818680000000001</v>
      </c>
      <c r="F33" s="79">
        <f t="shared" si="1"/>
        <v>1.2318800000000001</v>
      </c>
      <c r="G33" s="79">
        <f t="shared" si="1"/>
        <v>3.9110749999999999</v>
      </c>
      <c r="H33" s="79">
        <f t="shared" si="1"/>
        <v>6.9152800000000001</v>
      </c>
      <c r="I33" s="79">
        <f t="shared" si="1"/>
        <v>20.217749999999999</v>
      </c>
      <c r="J33" s="80">
        <f t="shared" si="1"/>
        <v>2.3166500000000001</v>
      </c>
    </row>
    <row r="34" spans="1:10" ht="14.1" hidden="1" customHeight="1" x14ac:dyDescent="0.3">
      <c r="A34" s="137" t="s">
        <v>62</v>
      </c>
      <c r="B34" s="79">
        <f>B143</f>
        <v>38.540417700000006</v>
      </c>
      <c r="C34" s="79">
        <f t="shared" ref="C34:J34" si="2">C143</f>
        <v>36.568408500000004</v>
      </c>
      <c r="D34" s="81">
        <f t="shared" si="2"/>
        <v>0.92810150000000002</v>
      </c>
      <c r="E34" s="79">
        <f t="shared" si="2"/>
        <v>1.1327320000000001</v>
      </c>
      <c r="F34" s="79">
        <f t="shared" si="2"/>
        <v>1.2575000000000001</v>
      </c>
      <c r="G34" s="79">
        <f t="shared" si="2"/>
        <v>3.564505</v>
      </c>
      <c r="H34" s="79">
        <f t="shared" si="2"/>
        <v>6.5402199999999997</v>
      </c>
      <c r="I34" s="79">
        <f t="shared" si="2"/>
        <v>20.833300000000001</v>
      </c>
      <c r="J34" s="80">
        <f t="shared" si="2"/>
        <v>2.3120500000000002</v>
      </c>
    </row>
    <row r="35" spans="1:10" ht="14.1" hidden="1" customHeight="1" x14ac:dyDescent="0.3">
      <c r="A35" s="137" t="s">
        <v>63</v>
      </c>
      <c r="B35" s="79">
        <f t="shared" ref="B35:J35" si="3">B147</f>
        <v>48.931804589999999</v>
      </c>
      <c r="C35" s="79">
        <f t="shared" si="3"/>
        <v>46.8764945</v>
      </c>
      <c r="D35" s="81">
        <f t="shared" si="3"/>
        <v>1.025771</v>
      </c>
      <c r="E35" s="79">
        <f t="shared" si="3"/>
        <v>1.299026</v>
      </c>
      <c r="F35" s="79">
        <f t="shared" si="3"/>
        <v>1.5234574999999999</v>
      </c>
      <c r="G35" s="79">
        <f t="shared" si="3"/>
        <v>4.147875</v>
      </c>
      <c r="H35" s="79">
        <f t="shared" si="3"/>
        <v>7.8143399999999996</v>
      </c>
      <c r="I35" s="79">
        <f t="shared" si="3"/>
        <v>28.558724999999999</v>
      </c>
      <c r="J35" s="80">
        <f t="shared" si="3"/>
        <v>2.5072999999999999</v>
      </c>
    </row>
    <row r="36" spans="1:10" ht="14.1" hidden="1" customHeight="1" x14ac:dyDescent="0.3">
      <c r="A36" s="137" t="s">
        <v>66</v>
      </c>
      <c r="B36" s="79">
        <f>B151</f>
        <v>55.96145886</v>
      </c>
      <c r="C36" s="79">
        <f t="shared" ref="C36:J36" si="4">C151</f>
        <v>53.8228905</v>
      </c>
      <c r="D36" s="79">
        <f t="shared" si="4"/>
        <v>1.0953269999999999</v>
      </c>
      <c r="E36" s="79">
        <f t="shared" si="4"/>
        <v>1.4025810000000001</v>
      </c>
      <c r="F36" s="79">
        <f t="shared" si="4"/>
        <v>1.7313775</v>
      </c>
      <c r="G36" s="79">
        <f t="shared" si="4"/>
        <v>4.50298</v>
      </c>
      <c r="H36" s="79">
        <f t="shared" si="4"/>
        <v>8.1481999999999992</v>
      </c>
      <c r="I36" s="79">
        <f t="shared" si="4"/>
        <v>33.137324999999997</v>
      </c>
      <c r="J36" s="80">
        <f t="shared" si="4"/>
        <v>3.8050999999999999</v>
      </c>
    </row>
    <row r="37" spans="1:10" ht="14.1" hidden="1" customHeight="1" x14ac:dyDescent="0.3">
      <c r="A37" s="137" t="s">
        <v>67</v>
      </c>
      <c r="B37" s="79">
        <f>B155</f>
        <v>67.267013560000009</v>
      </c>
      <c r="C37" s="79">
        <f t="shared" ref="C37:J37" si="5">C155</f>
        <v>64.297088000000002</v>
      </c>
      <c r="D37" s="79">
        <f t="shared" si="5"/>
        <v>0.78881000000000001</v>
      </c>
      <c r="E37" s="79">
        <f t="shared" si="5"/>
        <v>1.6232380000000002</v>
      </c>
      <c r="F37" s="79">
        <f t="shared" si="5"/>
        <v>1.9097900000000001</v>
      </c>
      <c r="G37" s="79">
        <f t="shared" si="5"/>
        <v>4.2357700000000005</v>
      </c>
      <c r="H37" s="79">
        <f t="shared" si="5"/>
        <v>8.5849799999999998</v>
      </c>
      <c r="I37" s="79">
        <f t="shared" si="5"/>
        <v>41.286900000000003</v>
      </c>
      <c r="J37" s="80">
        <f t="shared" si="5"/>
        <v>5.8675999999999995</v>
      </c>
    </row>
    <row r="38" spans="1:10" ht="14.1" hidden="1" customHeight="1" x14ac:dyDescent="0.3">
      <c r="A38" s="137" t="s">
        <v>68</v>
      </c>
      <c r="B38" s="79">
        <f>B159</f>
        <v>75.218624500000004</v>
      </c>
      <c r="C38" s="79">
        <f t="shared" ref="C38:J38" si="6">C159</f>
        <v>71.852268500000008</v>
      </c>
      <c r="D38" s="79">
        <f t="shared" si="6"/>
        <v>0.78425199999999995</v>
      </c>
      <c r="E38" s="79">
        <f t="shared" si="6"/>
        <v>1.7329840000000001</v>
      </c>
      <c r="F38" s="79">
        <f t="shared" si="6"/>
        <v>1.9923975</v>
      </c>
      <c r="G38" s="79">
        <f t="shared" si="6"/>
        <v>4.4642900000000001</v>
      </c>
      <c r="H38" s="79">
        <f t="shared" si="6"/>
        <v>8.85717</v>
      </c>
      <c r="I38" s="79">
        <f t="shared" si="6"/>
        <v>40.968775000000001</v>
      </c>
      <c r="J38" s="80">
        <f t="shared" si="6"/>
        <v>13.0524</v>
      </c>
    </row>
    <row r="39" spans="1:10" ht="14.1" customHeight="1" x14ac:dyDescent="0.3">
      <c r="A39" s="137" t="s">
        <v>94</v>
      </c>
      <c r="B39" s="79">
        <f t="shared" ref="B39:J39" si="7">B163</f>
        <v>86.969700740000007</v>
      </c>
      <c r="C39" s="79">
        <f t="shared" si="7"/>
        <v>83.212153000000001</v>
      </c>
      <c r="D39" s="79">
        <f t="shared" si="7"/>
        <v>0.78287099999999998</v>
      </c>
      <c r="E39" s="79">
        <f t="shared" si="7"/>
        <v>1.873462</v>
      </c>
      <c r="F39" s="79">
        <f t="shared" si="7"/>
        <v>2.2337750000000001</v>
      </c>
      <c r="G39" s="79">
        <f t="shared" si="7"/>
        <v>4.4011100000000001</v>
      </c>
      <c r="H39" s="79">
        <f t="shared" si="7"/>
        <v>8.1411099999999994</v>
      </c>
      <c r="I39" s="79">
        <f t="shared" si="7"/>
        <v>41.708725000000001</v>
      </c>
      <c r="J39" s="80">
        <f t="shared" si="7"/>
        <v>24.071100000000001</v>
      </c>
    </row>
    <row r="40" spans="1:10" ht="14.1" customHeight="1" x14ac:dyDescent="0.3">
      <c r="A40" s="137" t="s">
        <v>95</v>
      </c>
      <c r="B40" s="79">
        <f t="shared" ref="B40:J40" si="8">B167</f>
        <v>90.678349470000001</v>
      </c>
      <c r="C40" s="79">
        <f t="shared" si="8"/>
        <v>86.565966000000003</v>
      </c>
      <c r="D40" s="79">
        <f t="shared" si="8"/>
        <v>0.78242999999999996</v>
      </c>
      <c r="E40" s="79">
        <f t="shared" si="8"/>
        <v>1.945816</v>
      </c>
      <c r="F40" s="79">
        <f t="shared" si="8"/>
        <v>2.3989449999999999</v>
      </c>
      <c r="G40" s="79">
        <f t="shared" si="8"/>
        <v>4.4676999999999998</v>
      </c>
      <c r="H40" s="79">
        <f t="shared" si="8"/>
        <v>8.1532499999999999</v>
      </c>
      <c r="I40" s="79">
        <f t="shared" si="8"/>
        <v>40.597425000000001</v>
      </c>
      <c r="J40" s="80">
        <f t="shared" si="8"/>
        <v>28.220400000000001</v>
      </c>
    </row>
    <row r="41" spans="1:10" ht="14.1" customHeight="1" x14ac:dyDescent="0.3">
      <c r="A41" s="137" t="s">
        <v>96</v>
      </c>
      <c r="B41" s="79">
        <f t="shared" ref="B41:J41" si="9">B171</f>
        <v>92.713587069999988</v>
      </c>
      <c r="C41" s="79">
        <f t="shared" si="9"/>
        <v>88.282602999999995</v>
      </c>
      <c r="D41" s="79">
        <f t="shared" si="9"/>
        <v>0.78212599999999999</v>
      </c>
      <c r="E41" s="79">
        <f t="shared" si="9"/>
        <v>1.924142</v>
      </c>
      <c r="F41" s="79">
        <f t="shared" si="9"/>
        <v>2.5339999999999998</v>
      </c>
      <c r="G41" s="79">
        <f t="shared" si="9"/>
        <v>4.8906200000000002</v>
      </c>
      <c r="H41" s="79">
        <f t="shared" si="9"/>
        <v>7.6884899999999998</v>
      </c>
      <c r="I41" s="79">
        <f t="shared" si="9"/>
        <v>37.534025</v>
      </c>
      <c r="J41" s="80">
        <f t="shared" si="9"/>
        <v>32.929200000000002</v>
      </c>
    </row>
    <row r="42" spans="1:10" ht="14.1" customHeight="1" x14ac:dyDescent="0.3">
      <c r="A42" s="137" t="s">
        <v>97</v>
      </c>
      <c r="B42" s="79">
        <f t="shared" ref="B42:J42" si="10">B175</f>
        <v>115.89327412000002</v>
      </c>
      <c r="C42" s="79">
        <f t="shared" si="10"/>
        <v>111.00342950000001</v>
      </c>
      <c r="D42" s="79">
        <f t="shared" si="10"/>
        <v>0.78206699999999996</v>
      </c>
      <c r="E42" s="79">
        <f t="shared" si="10"/>
        <v>2.287312</v>
      </c>
      <c r="F42" s="79">
        <f t="shared" si="10"/>
        <v>3.0138655000000001</v>
      </c>
      <c r="G42" s="79">
        <f t="shared" si="10"/>
        <v>5.5285400000000005</v>
      </c>
      <c r="H42" s="79">
        <f t="shared" si="10"/>
        <v>8.6594699999999989</v>
      </c>
      <c r="I42" s="79">
        <f t="shared" si="10"/>
        <v>57.753775000000005</v>
      </c>
      <c r="J42" s="80">
        <f t="shared" si="10"/>
        <v>32.978400000000001</v>
      </c>
    </row>
    <row r="43" spans="1:10" x14ac:dyDescent="0.3">
      <c r="A43" s="137" t="s">
        <v>100</v>
      </c>
      <c r="B43" s="79">
        <f t="shared" ref="B43:J43" si="11">B179</f>
        <v>138.12050191</v>
      </c>
      <c r="C43" s="79">
        <f t="shared" si="11"/>
        <v>132.702944</v>
      </c>
      <c r="D43" s="79">
        <f t="shared" si="11"/>
        <v>0.78203699999999998</v>
      </c>
      <c r="E43" s="79">
        <f t="shared" si="11"/>
        <v>2.405062</v>
      </c>
      <c r="F43" s="79">
        <f t="shared" si="11"/>
        <v>3.45947</v>
      </c>
      <c r="G43" s="79">
        <f t="shared" si="11"/>
        <v>6.5671799999999996</v>
      </c>
      <c r="H43" s="79">
        <f t="shared" si="11"/>
        <v>10.41037</v>
      </c>
      <c r="I43" s="79">
        <f t="shared" si="11"/>
        <v>77.07672500000001</v>
      </c>
      <c r="J43" s="80">
        <f t="shared" si="11"/>
        <v>32.002099999999999</v>
      </c>
    </row>
    <row r="44" spans="1:10" x14ac:dyDescent="0.3">
      <c r="A44" s="137" t="s">
        <v>188</v>
      </c>
      <c r="B44" s="79">
        <f t="shared" ref="B44:J44" si="12">B183</f>
        <v>118.00557565999999</v>
      </c>
      <c r="C44" s="79">
        <f t="shared" si="12"/>
        <v>112.34035399999999</v>
      </c>
      <c r="D44" s="79">
        <f t="shared" si="12"/>
        <v>0.78189600000000004</v>
      </c>
      <c r="E44" s="79">
        <f t="shared" si="12"/>
        <v>2.493798</v>
      </c>
      <c r="F44" s="79">
        <f t="shared" si="12"/>
        <v>3.262785</v>
      </c>
      <c r="G44" s="79">
        <f t="shared" si="12"/>
        <v>4.9370799999999999</v>
      </c>
      <c r="H44" s="79">
        <f t="shared" si="12"/>
        <v>8.1674699999999998</v>
      </c>
      <c r="I44" s="79">
        <f t="shared" si="12"/>
        <v>66.032124999999994</v>
      </c>
      <c r="J44" s="80">
        <f t="shared" si="12"/>
        <v>26.665199999999999</v>
      </c>
    </row>
    <row r="45" spans="1:10" x14ac:dyDescent="0.3">
      <c r="A45" s="137" t="s">
        <v>193</v>
      </c>
      <c r="B45" s="79">
        <f t="shared" ref="B45:J45" si="13">B187</f>
        <v>128.04460426</v>
      </c>
      <c r="C45" s="79">
        <f t="shared" si="13"/>
        <v>122.02699150000001</v>
      </c>
      <c r="D45" s="79">
        <f t="shared" si="13"/>
        <v>0.78164199999999995</v>
      </c>
      <c r="E45" s="79">
        <f t="shared" si="13"/>
        <v>2.4788540000000001</v>
      </c>
      <c r="F45" s="79">
        <f t="shared" si="13"/>
        <v>3.1139205000000003</v>
      </c>
      <c r="G45" s="79">
        <f t="shared" si="13"/>
        <v>6.3710999999999993</v>
      </c>
      <c r="H45" s="79">
        <f t="shared" si="13"/>
        <v>9.06325</v>
      </c>
      <c r="I45" s="79">
        <f t="shared" si="13"/>
        <v>61.397024999999999</v>
      </c>
      <c r="J45" s="80">
        <f t="shared" si="13"/>
        <v>38.821199999999997</v>
      </c>
    </row>
    <row r="46" spans="1:10" ht="14.55" customHeight="1" x14ac:dyDescent="0.3">
      <c r="A46" s="148"/>
      <c r="B46" s="87"/>
      <c r="C46" s="87"/>
      <c r="D46" s="87"/>
      <c r="E46" s="87"/>
      <c r="F46" s="87"/>
      <c r="G46" s="87"/>
      <c r="H46" s="87"/>
      <c r="I46" s="87"/>
      <c r="J46" s="88"/>
    </row>
    <row r="47" spans="1:10" ht="14.55" customHeight="1" x14ac:dyDescent="0.3">
      <c r="A47" s="149" t="s">
        <v>245</v>
      </c>
      <c r="B47" s="82">
        <f t="shared" ref="B47:B78" si="14">C47+C218</f>
        <v>6.25</v>
      </c>
      <c r="C47" s="82">
        <f t="shared" ref="C47:C96" si="15">SUM(D47:J47)</f>
        <v>5.61</v>
      </c>
      <c r="D47" s="82">
        <v>0.25</v>
      </c>
      <c r="E47" s="82">
        <v>0.31</v>
      </c>
      <c r="F47" s="82">
        <v>0.38</v>
      </c>
      <c r="G47" s="86">
        <v>1.93</v>
      </c>
      <c r="H47" s="82">
        <v>2.34</v>
      </c>
      <c r="I47" s="82">
        <v>0.4</v>
      </c>
      <c r="J47" s="83">
        <v>0</v>
      </c>
    </row>
    <row r="48" spans="1:10" ht="14.55" customHeight="1" x14ac:dyDescent="0.3">
      <c r="A48" s="149" t="s">
        <v>195</v>
      </c>
      <c r="B48" s="82">
        <f t="shared" si="14"/>
        <v>5.7960000000000003</v>
      </c>
      <c r="C48" s="82">
        <f t="shared" si="15"/>
        <v>4.9359999999999999</v>
      </c>
      <c r="D48" s="82">
        <v>0.23</v>
      </c>
      <c r="E48" s="82">
        <v>0.28000000000000003</v>
      </c>
      <c r="F48" s="82">
        <v>0.32</v>
      </c>
      <c r="G48" s="86">
        <v>1.61</v>
      </c>
      <c r="H48" s="82">
        <v>2.09</v>
      </c>
      <c r="I48" s="82">
        <v>0.35</v>
      </c>
      <c r="J48" s="83">
        <v>5.6000000000000001E-2</v>
      </c>
    </row>
    <row r="49" spans="1:10" ht="14.55" customHeight="1" x14ac:dyDescent="0.3">
      <c r="A49" s="149" t="s">
        <v>196</v>
      </c>
      <c r="B49" s="82">
        <f t="shared" si="14"/>
        <v>7.3899999999999988</v>
      </c>
      <c r="C49" s="82">
        <f t="shared" si="15"/>
        <v>6.5099999999999989</v>
      </c>
      <c r="D49" s="82">
        <v>0.25</v>
      </c>
      <c r="E49" s="82">
        <v>0.33</v>
      </c>
      <c r="F49" s="82">
        <v>0.43</v>
      </c>
      <c r="G49" s="86">
        <v>2.2599999999999998</v>
      </c>
      <c r="H49" s="82">
        <v>2.83</v>
      </c>
      <c r="I49" s="82">
        <v>0.35</v>
      </c>
      <c r="J49" s="83">
        <v>0.06</v>
      </c>
    </row>
    <row r="50" spans="1:10" ht="14.55" customHeight="1" x14ac:dyDescent="0.3">
      <c r="A50" s="149" t="s">
        <v>197</v>
      </c>
      <c r="B50" s="82">
        <f t="shared" si="14"/>
        <v>5.7899999999999991</v>
      </c>
      <c r="C50" s="82">
        <f t="shared" si="15"/>
        <v>4.9099999999999993</v>
      </c>
      <c r="D50" s="82">
        <v>0.23</v>
      </c>
      <c r="E50" s="82">
        <v>0.28999999999999998</v>
      </c>
      <c r="F50" s="82">
        <v>0.33</v>
      </c>
      <c r="G50" s="86">
        <v>1.42</v>
      </c>
      <c r="H50" s="82">
        <v>2.23</v>
      </c>
      <c r="I50" s="82">
        <v>0.35</v>
      </c>
      <c r="J50" s="83">
        <v>0.06</v>
      </c>
    </row>
    <row r="51" spans="1:10" ht="14.55" customHeight="1" x14ac:dyDescent="0.3">
      <c r="A51" s="149" t="s">
        <v>198</v>
      </c>
      <c r="B51" s="82">
        <f t="shared" si="14"/>
        <v>5.9699999999999989</v>
      </c>
      <c r="C51" s="82">
        <f t="shared" si="15"/>
        <v>5.0799999999999992</v>
      </c>
      <c r="D51" s="82">
        <v>0.25</v>
      </c>
      <c r="E51" s="82">
        <v>0.32</v>
      </c>
      <c r="F51" s="82">
        <v>0.37</v>
      </c>
      <c r="G51" s="86">
        <v>1.74</v>
      </c>
      <c r="H51" s="82">
        <v>1.99</v>
      </c>
      <c r="I51" s="82">
        <v>0.35</v>
      </c>
      <c r="J51" s="83">
        <v>0.06</v>
      </c>
    </row>
    <row r="52" spans="1:10" ht="14.55" customHeight="1" x14ac:dyDescent="0.3">
      <c r="A52" s="149" t="s">
        <v>199</v>
      </c>
      <c r="B52" s="82">
        <f t="shared" si="14"/>
        <v>5.9899999999999993</v>
      </c>
      <c r="C52" s="82">
        <f t="shared" si="15"/>
        <v>5.0799999999999992</v>
      </c>
      <c r="D52" s="82">
        <v>0.25</v>
      </c>
      <c r="E52" s="82">
        <v>0.32</v>
      </c>
      <c r="F52" s="82">
        <v>0.36</v>
      </c>
      <c r="G52" s="86">
        <v>1.61</v>
      </c>
      <c r="H52" s="82">
        <v>1.93</v>
      </c>
      <c r="I52" s="82">
        <v>0.55000000000000004</v>
      </c>
      <c r="J52" s="83">
        <v>0.06</v>
      </c>
    </row>
    <row r="53" spans="1:10" ht="14.55" customHeight="1" x14ac:dyDescent="0.3">
      <c r="A53" s="149" t="s">
        <v>200</v>
      </c>
      <c r="B53" s="82">
        <f t="shared" si="14"/>
        <v>8.25</v>
      </c>
      <c r="C53" s="82">
        <f t="shared" si="15"/>
        <v>7.3</v>
      </c>
      <c r="D53" s="82">
        <v>0.28000000000000003</v>
      </c>
      <c r="E53" s="82">
        <v>0.35</v>
      </c>
      <c r="F53" s="82">
        <v>0.42</v>
      </c>
      <c r="G53" s="86">
        <v>2.2000000000000002</v>
      </c>
      <c r="H53" s="82">
        <v>2.99</v>
      </c>
      <c r="I53" s="82">
        <v>1</v>
      </c>
      <c r="J53" s="83">
        <v>0.06</v>
      </c>
    </row>
    <row r="54" spans="1:10" ht="14.55" customHeight="1" x14ac:dyDescent="0.3">
      <c r="A54" s="149" t="s">
        <v>201</v>
      </c>
      <c r="B54" s="82">
        <f t="shared" si="14"/>
        <v>5.76</v>
      </c>
      <c r="C54" s="82">
        <f t="shared" si="15"/>
        <v>5.0199999999999996</v>
      </c>
      <c r="D54" s="82">
        <v>0.25</v>
      </c>
      <c r="E54" s="82">
        <v>0.28999999999999998</v>
      </c>
      <c r="F54" s="82">
        <v>0.34</v>
      </c>
      <c r="G54" s="86">
        <v>1.43</v>
      </c>
      <c r="H54" s="82">
        <v>1.95</v>
      </c>
      <c r="I54" s="82">
        <v>0.7</v>
      </c>
      <c r="J54" s="83">
        <v>0.06</v>
      </c>
    </row>
    <row r="55" spans="1:10" ht="14.55" customHeight="1" x14ac:dyDescent="0.3">
      <c r="A55" s="149" t="s">
        <v>202</v>
      </c>
      <c r="B55" s="82">
        <f t="shared" si="14"/>
        <v>6.19</v>
      </c>
      <c r="C55" s="82">
        <f t="shared" si="15"/>
        <v>5.24</v>
      </c>
      <c r="D55" s="82">
        <v>0.27</v>
      </c>
      <c r="E55" s="82">
        <v>0.31</v>
      </c>
      <c r="F55" s="82">
        <v>0.37</v>
      </c>
      <c r="G55" s="86">
        <v>1.5</v>
      </c>
      <c r="H55" s="82">
        <v>2.0299999999999998</v>
      </c>
      <c r="I55" s="82">
        <v>0.7</v>
      </c>
      <c r="J55" s="83">
        <v>0.06</v>
      </c>
    </row>
    <row r="56" spans="1:10" ht="14.55" customHeight="1" x14ac:dyDescent="0.3">
      <c r="A56" s="149" t="s">
        <v>203</v>
      </c>
      <c r="B56" s="82">
        <f t="shared" si="14"/>
        <v>6.25</v>
      </c>
      <c r="C56" s="82">
        <f t="shared" si="15"/>
        <v>5.3</v>
      </c>
      <c r="D56" s="82">
        <v>0.27</v>
      </c>
      <c r="E56" s="82">
        <v>0.31</v>
      </c>
      <c r="F56" s="82">
        <v>0.37</v>
      </c>
      <c r="G56" s="86">
        <v>1.6</v>
      </c>
      <c r="H56" s="82">
        <v>2.09</v>
      </c>
      <c r="I56" s="82">
        <v>0.6</v>
      </c>
      <c r="J56" s="83">
        <v>0.06</v>
      </c>
    </row>
    <row r="57" spans="1:10" ht="14.55" customHeight="1" x14ac:dyDescent="0.3">
      <c r="A57" s="149" t="s">
        <v>204</v>
      </c>
      <c r="B57" s="82">
        <f t="shared" si="14"/>
        <v>9.59</v>
      </c>
      <c r="C57" s="82">
        <f t="shared" si="15"/>
        <v>8.6300000000000008</v>
      </c>
      <c r="D57" s="82">
        <v>0.28999999999999998</v>
      </c>
      <c r="E57" s="82">
        <v>0.37</v>
      </c>
      <c r="F57" s="82">
        <v>0.46</v>
      </c>
      <c r="G57" s="86">
        <v>2.37</v>
      </c>
      <c r="H57" s="82">
        <v>2.78</v>
      </c>
      <c r="I57" s="82">
        <v>2.2999999999999998</v>
      </c>
      <c r="J57" s="83">
        <v>0.06</v>
      </c>
    </row>
    <row r="58" spans="1:10" ht="14.55" customHeight="1" x14ac:dyDescent="0.3">
      <c r="A58" s="149" t="s">
        <v>205</v>
      </c>
      <c r="B58" s="82">
        <f t="shared" si="14"/>
        <v>5.83</v>
      </c>
      <c r="C58" s="82">
        <f t="shared" si="15"/>
        <v>4.8600000000000003</v>
      </c>
      <c r="D58" s="82">
        <v>0.26</v>
      </c>
      <c r="E58" s="82">
        <v>0.3</v>
      </c>
      <c r="F58" s="82">
        <v>0.33</v>
      </c>
      <c r="G58" s="86">
        <v>1.37</v>
      </c>
      <c r="H58" s="82">
        <v>1.59</v>
      </c>
      <c r="I58" s="82">
        <v>0.95</v>
      </c>
      <c r="J58" s="83">
        <v>0.06</v>
      </c>
    </row>
    <row r="59" spans="1:10" ht="14.55" customHeight="1" x14ac:dyDescent="0.3">
      <c r="A59" s="149" t="s">
        <v>206</v>
      </c>
      <c r="B59" s="82">
        <f t="shared" si="14"/>
        <v>6.4599999999999991</v>
      </c>
      <c r="C59" s="82">
        <f t="shared" si="15"/>
        <v>5.4799999999999995</v>
      </c>
      <c r="D59" s="82">
        <v>0.28999999999999998</v>
      </c>
      <c r="E59" s="82">
        <v>0.34</v>
      </c>
      <c r="F59" s="82">
        <v>0.37</v>
      </c>
      <c r="G59" s="86">
        <v>1.57</v>
      </c>
      <c r="H59" s="82">
        <v>1.85</v>
      </c>
      <c r="I59" s="82">
        <v>1</v>
      </c>
      <c r="J59" s="83">
        <v>0.06</v>
      </c>
    </row>
    <row r="60" spans="1:10" ht="14.55" customHeight="1" x14ac:dyDescent="0.3">
      <c r="A60" s="149" t="s">
        <v>207</v>
      </c>
      <c r="B60" s="82">
        <f t="shared" si="14"/>
        <v>6.51</v>
      </c>
      <c r="C60" s="82">
        <f t="shared" si="15"/>
        <v>5.53</v>
      </c>
      <c r="D60" s="82">
        <v>0.28000000000000003</v>
      </c>
      <c r="E60" s="82">
        <v>0.33</v>
      </c>
      <c r="F60" s="82">
        <v>0.34</v>
      </c>
      <c r="G60" s="86">
        <v>1.67</v>
      </c>
      <c r="H60" s="82">
        <v>1.85</v>
      </c>
      <c r="I60" s="82">
        <v>1</v>
      </c>
      <c r="J60" s="83">
        <v>0.06</v>
      </c>
    </row>
    <row r="61" spans="1:10" ht="14.55" customHeight="1" x14ac:dyDescent="0.3">
      <c r="A61" s="149" t="s">
        <v>208</v>
      </c>
      <c r="B61" s="82">
        <f t="shared" si="14"/>
        <v>8.11</v>
      </c>
      <c r="C61" s="82">
        <f t="shared" si="15"/>
        <v>7.12</v>
      </c>
      <c r="D61" s="82">
        <v>0.31</v>
      </c>
      <c r="E61" s="82">
        <v>0.37</v>
      </c>
      <c r="F61" s="82">
        <v>0.41</v>
      </c>
      <c r="G61" s="86">
        <v>1.99</v>
      </c>
      <c r="H61" s="82">
        <v>2.63</v>
      </c>
      <c r="I61" s="82">
        <v>1.35</v>
      </c>
      <c r="J61" s="83">
        <v>0.06</v>
      </c>
    </row>
    <row r="62" spans="1:10" ht="14.55" customHeight="1" x14ac:dyDescent="0.3">
      <c r="A62" s="149" t="s">
        <v>209</v>
      </c>
      <c r="B62" s="82">
        <f t="shared" si="14"/>
        <v>6.17</v>
      </c>
      <c r="C62" s="82">
        <f t="shared" si="15"/>
        <v>5.18</v>
      </c>
      <c r="D62" s="82">
        <v>0.28000000000000003</v>
      </c>
      <c r="E62" s="82">
        <v>0.32</v>
      </c>
      <c r="F62" s="82">
        <v>0.34</v>
      </c>
      <c r="G62" s="86">
        <v>1.57</v>
      </c>
      <c r="H62" s="82">
        <v>1.74</v>
      </c>
      <c r="I62" s="82">
        <v>0.87</v>
      </c>
      <c r="J62" s="83">
        <v>0.06</v>
      </c>
    </row>
    <row r="63" spans="1:10" ht="14.55" customHeight="1" x14ac:dyDescent="0.3">
      <c r="A63" s="149" t="s">
        <v>210</v>
      </c>
      <c r="B63" s="82">
        <f t="shared" si="14"/>
        <v>6.83</v>
      </c>
      <c r="C63" s="82">
        <f t="shared" si="15"/>
        <v>5.84</v>
      </c>
      <c r="D63" s="82">
        <v>0.3</v>
      </c>
      <c r="E63" s="82">
        <v>0.35</v>
      </c>
      <c r="F63" s="82">
        <v>0.37</v>
      </c>
      <c r="G63" s="86">
        <v>1.8</v>
      </c>
      <c r="H63" s="82">
        <v>2.0099999999999998</v>
      </c>
      <c r="I63" s="82">
        <v>0.95</v>
      </c>
      <c r="J63" s="83">
        <v>0.06</v>
      </c>
    </row>
    <row r="64" spans="1:10" ht="14.55" customHeight="1" x14ac:dyDescent="0.3">
      <c r="A64" s="149" t="s">
        <v>211</v>
      </c>
      <c r="B64" s="82">
        <f t="shared" si="14"/>
        <v>6.66</v>
      </c>
      <c r="C64" s="82">
        <f t="shared" si="15"/>
        <v>5.66</v>
      </c>
      <c r="D64" s="82">
        <v>0.31</v>
      </c>
      <c r="E64" s="82">
        <v>0.37</v>
      </c>
      <c r="F64" s="82">
        <v>0.41</v>
      </c>
      <c r="G64" s="86">
        <v>1.7</v>
      </c>
      <c r="H64" s="82">
        <v>1.91</v>
      </c>
      <c r="I64" s="82">
        <v>0.9</v>
      </c>
      <c r="J64" s="83">
        <v>0.06</v>
      </c>
    </row>
    <row r="65" spans="1:10" ht="14.55" customHeight="1" x14ac:dyDescent="0.3">
      <c r="A65" s="149" t="s">
        <v>212</v>
      </c>
      <c r="B65" s="82">
        <f t="shared" si="14"/>
        <v>9.4</v>
      </c>
      <c r="C65" s="82">
        <f t="shared" si="15"/>
        <v>8.35</v>
      </c>
      <c r="D65" s="82">
        <v>0.38</v>
      </c>
      <c r="E65" s="82">
        <v>0.44</v>
      </c>
      <c r="F65" s="82">
        <v>0.47</v>
      </c>
      <c r="G65" s="86">
        <v>2.4</v>
      </c>
      <c r="H65" s="82">
        <v>3.1</v>
      </c>
      <c r="I65" s="82">
        <v>1.5</v>
      </c>
      <c r="J65" s="83">
        <v>0.06</v>
      </c>
    </row>
    <row r="66" spans="1:10" ht="14.55" customHeight="1" x14ac:dyDescent="0.3">
      <c r="A66" s="149" t="s">
        <v>213</v>
      </c>
      <c r="B66" s="82">
        <f t="shared" si="14"/>
        <v>8.3899999999999988</v>
      </c>
      <c r="C66" s="82">
        <f t="shared" si="15"/>
        <v>7.3299999999999992</v>
      </c>
      <c r="D66" s="82">
        <v>0.35</v>
      </c>
      <c r="E66" s="82">
        <v>0.4</v>
      </c>
      <c r="F66" s="82">
        <v>0.45</v>
      </c>
      <c r="G66" s="86">
        <v>2.17</v>
      </c>
      <c r="H66" s="82">
        <v>2.8</v>
      </c>
      <c r="I66" s="82">
        <v>1.1000000000000001</v>
      </c>
      <c r="J66" s="83">
        <v>0.06</v>
      </c>
    </row>
    <row r="67" spans="1:10" ht="14.55" customHeight="1" x14ac:dyDescent="0.3">
      <c r="A67" s="149" t="s">
        <v>214</v>
      </c>
      <c r="B67" s="82">
        <f t="shared" si="14"/>
        <v>8.35</v>
      </c>
      <c r="C67" s="82">
        <f t="shared" si="15"/>
        <v>7.2899999999999991</v>
      </c>
      <c r="D67" s="82">
        <v>0.35</v>
      </c>
      <c r="E67" s="82">
        <v>0.42</v>
      </c>
      <c r="F67" s="82">
        <v>0.5</v>
      </c>
      <c r="G67" s="86">
        <v>2.0499999999999998</v>
      </c>
      <c r="H67" s="82">
        <v>2.71</v>
      </c>
      <c r="I67" s="82">
        <v>1.2</v>
      </c>
      <c r="J67" s="83">
        <v>0.06</v>
      </c>
    </row>
    <row r="68" spans="1:10" ht="14.55" customHeight="1" x14ac:dyDescent="0.3">
      <c r="A68" s="149" t="s">
        <v>215</v>
      </c>
      <c r="B68" s="82">
        <f t="shared" si="14"/>
        <v>8.7100000000000009</v>
      </c>
      <c r="C68" s="82">
        <f t="shared" si="15"/>
        <v>7.63</v>
      </c>
      <c r="D68" s="82">
        <v>0.35</v>
      </c>
      <c r="E68" s="82">
        <v>0.42</v>
      </c>
      <c r="F68" s="82">
        <v>0.52</v>
      </c>
      <c r="G68" s="86">
        <v>2.12</v>
      </c>
      <c r="H68" s="82">
        <v>2.9</v>
      </c>
      <c r="I68" s="82">
        <v>1.26</v>
      </c>
      <c r="J68" s="83">
        <v>0.06</v>
      </c>
    </row>
    <row r="69" spans="1:10" ht="14.55" customHeight="1" x14ac:dyDescent="0.3">
      <c r="A69" s="149" t="s">
        <v>216</v>
      </c>
      <c r="B69" s="82">
        <f t="shared" si="14"/>
        <v>10.32</v>
      </c>
      <c r="C69" s="82">
        <f t="shared" si="15"/>
        <v>9.2200000000000006</v>
      </c>
      <c r="D69" s="82">
        <v>0.41</v>
      </c>
      <c r="E69" s="82">
        <v>0.52</v>
      </c>
      <c r="F69" s="82">
        <v>0.57999999999999996</v>
      </c>
      <c r="G69" s="86">
        <v>2.4500000000000002</v>
      </c>
      <c r="H69" s="82">
        <v>3.4</v>
      </c>
      <c r="I69" s="82">
        <v>1.8</v>
      </c>
      <c r="J69" s="83">
        <v>0.06</v>
      </c>
    </row>
    <row r="70" spans="1:10" ht="14.55" customHeight="1" x14ac:dyDescent="0.3">
      <c r="A70" s="149" t="s">
        <v>217</v>
      </c>
      <c r="B70" s="82">
        <f t="shared" si="14"/>
        <v>7.85</v>
      </c>
      <c r="C70" s="82">
        <f t="shared" si="15"/>
        <v>6.76</v>
      </c>
      <c r="D70" s="82">
        <v>0.37</v>
      </c>
      <c r="E70" s="82">
        <v>0.44</v>
      </c>
      <c r="F70" s="82">
        <v>0.49</v>
      </c>
      <c r="G70" s="86">
        <v>1.8</v>
      </c>
      <c r="H70" s="82">
        <v>2.1</v>
      </c>
      <c r="I70" s="82">
        <v>1.5</v>
      </c>
      <c r="J70" s="83">
        <v>0.06</v>
      </c>
    </row>
    <row r="71" spans="1:10" ht="14.55" customHeight="1" x14ac:dyDescent="0.3">
      <c r="A71" s="149" t="s">
        <v>218</v>
      </c>
      <c r="B71" s="82">
        <f t="shared" si="14"/>
        <v>9.02</v>
      </c>
      <c r="C71" s="82">
        <f t="shared" si="15"/>
        <v>7.93</v>
      </c>
      <c r="D71" s="82">
        <v>0.37</v>
      </c>
      <c r="E71" s="82">
        <v>0.43</v>
      </c>
      <c r="F71" s="82">
        <v>0.5</v>
      </c>
      <c r="G71" s="86">
        <v>2.17</v>
      </c>
      <c r="H71" s="82">
        <v>2.6</v>
      </c>
      <c r="I71" s="82">
        <v>1.8</v>
      </c>
      <c r="J71" s="83">
        <v>0.06</v>
      </c>
    </row>
    <row r="72" spans="1:10" ht="14.55" customHeight="1" x14ac:dyDescent="0.3">
      <c r="A72" s="149" t="s">
        <v>219</v>
      </c>
      <c r="B72" s="82">
        <f t="shared" si="14"/>
        <v>8.8999999999999986</v>
      </c>
      <c r="C72" s="82">
        <f t="shared" si="15"/>
        <v>7.7999999999999989</v>
      </c>
      <c r="D72" s="82">
        <v>0.37</v>
      </c>
      <c r="E72" s="82">
        <v>0.43</v>
      </c>
      <c r="F72" s="82">
        <v>0.48</v>
      </c>
      <c r="G72" s="86">
        <v>2.3199999999999998</v>
      </c>
      <c r="H72" s="82">
        <v>2.42</v>
      </c>
      <c r="I72" s="82">
        <v>1.72</v>
      </c>
      <c r="J72" s="83">
        <v>0.06</v>
      </c>
    </row>
    <row r="73" spans="1:10" ht="14.55" customHeight="1" x14ac:dyDescent="0.3">
      <c r="A73" s="149" t="s">
        <v>220</v>
      </c>
      <c r="B73" s="82">
        <f t="shared" si="14"/>
        <v>9.1900000000000013</v>
      </c>
      <c r="C73" s="82">
        <f t="shared" si="15"/>
        <v>8.07</v>
      </c>
      <c r="D73" s="82">
        <v>0.39</v>
      </c>
      <c r="E73" s="82">
        <v>0.48</v>
      </c>
      <c r="F73" s="82">
        <v>0.51</v>
      </c>
      <c r="G73" s="86">
        <v>2.31</v>
      </c>
      <c r="H73" s="82">
        <v>2.6</v>
      </c>
      <c r="I73" s="82">
        <v>1.72</v>
      </c>
      <c r="J73" s="83">
        <v>0.06</v>
      </c>
    </row>
    <row r="74" spans="1:10" ht="14.55" customHeight="1" x14ac:dyDescent="0.3">
      <c r="A74" s="149" t="s">
        <v>221</v>
      </c>
      <c r="B74" s="82">
        <f t="shared" si="14"/>
        <v>7.6099999999999994</v>
      </c>
      <c r="C74" s="82">
        <f t="shared" si="15"/>
        <v>6.4799999999999995</v>
      </c>
      <c r="D74" s="82">
        <v>0.36</v>
      </c>
      <c r="E74" s="82">
        <v>0.42</v>
      </c>
      <c r="F74" s="82">
        <v>0.46</v>
      </c>
      <c r="G74" s="86">
        <v>1.76</v>
      </c>
      <c r="H74" s="82">
        <v>2.11</v>
      </c>
      <c r="I74" s="82">
        <v>1.31</v>
      </c>
      <c r="J74" s="83">
        <v>0.06</v>
      </c>
    </row>
    <row r="75" spans="1:10" ht="14.55" customHeight="1" x14ac:dyDescent="0.3">
      <c r="A75" s="149" t="s">
        <v>222</v>
      </c>
      <c r="B75" s="82">
        <f t="shared" si="14"/>
        <v>8.07</v>
      </c>
      <c r="C75" s="82">
        <f t="shared" si="15"/>
        <v>6.93</v>
      </c>
      <c r="D75" s="82">
        <v>0.37</v>
      </c>
      <c r="E75" s="82">
        <v>0.45</v>
      </c>
      <c r="F75" s="82">
        <v>0.48</v>
      </c>
      <c r="G75" s="86">
        <v>1.82</v>
      </c>
      <c r="H75" s="82">
        <v>2.2400000000000002</v>
      </c>
      <c r="I75" s="82">
        <v>1.51</v>
      </c>
      <c r="J75" s="83">
        <v>0.06</v>
      </c>
    </row>
    <row r="76" spans="1:10" ht="14.55" customHeight="1" x14ac:dyDescent="0.3">
      <c r="A76" s="149" t="s">
        <v>223</v>
      </c>
      <c r="B76" s="82">
        <f t="shared" si="14"/>
        <v>7.93</v>
      </c>
      <c r="C76" s="82">
        <f t="shared" si="15"/>
        <v>6.81</v>
      </c>
      <c r="D76" s="82">
        <v>0.38</v>
      </c>
      <c r="E76" s="82">
        <v>0.44</v>
      </c>
      <c r="F76" s="82">
        <v>0.5</v>
      </c>
      <c r="G76" s="86">
        <v>1.71</v>
      </c>
      <c r="H76" s="82">
        <v>2.16</v>
      </c>
      <c r="I76" s="82">
        <v>1.56</v>
      </c>
      <c r="J76" s="83">
        <v>0.06</v>
      </c>
    </row>
    <row r="77" spans="1:10" ht="14.55" customHeight="1" x14ac:dyDescent="0.3">
      <c r="A77" s="149" t="s">
        <v>224</v>
      </c>
      <c r="B77" s="82">
        <f t="shared" si="14"/>
        <v>9.1499999999999986</v>
      </c>
      <c r="C77" s="82">
        <f t="shared" si="15"/>
        <v>7.9899999999999993</v>
      </c>
      <c r="D77" s="82">
        <v>0.42</v>
      </c>
      <c r="E77" s="82">
        <v>0.5</v>
      </c>
      <c r="F77" s="82">
        <v>0.51</v>
      </c>
      <c r="G77" s="86">
        <v>2.09</v>
      </c>
      <c r="H77" s="82">
        <v>2.56</v>
      </c>
      <c r="I77" s="82">
        <v>1.85</v>
      </c>
      <c r="J77" s="83">
        <v>0.06</v>
      </c>
    </row>
    <row r="78" spans="1:10" ht="14.55" customHeight="1" x14ac:dyDescent="0.3">
      <c r="A78" s="149" t="s">
        <v>225</v>
      </c>
      <c r="B78" s="82">
        <f t="shared" si="14"/>
        <v>7.92</v>
      </c>
      <c r="C78" s="82">
        <f t="shared" si="15"/>
        <v>6.7799999999999994</v>
      </c>
      <c r="D78" s="82">
        <v>0.39</v>
      </c>
      <c r="E78" s="82">
        <v>0.46</v>
      </c>
      <c r="F78" s="82">
        <v>0.46</v>
      </c>
      <c r="G78" s="86">
        <v>1.96</v>
      </c>
      <c r="H78" s="82">
        <v>2</v>
      </c>
      <c r="I78" s="82">
        <v>1.45</v>
      </c>
      <c r="J78" s="83">
        <v>0.06</v>
      </c>
    </row>
    <row r="79" spans="1:10" ht="14.55" customHeight="1" x14ac:dyDescent="0.3">
      <c r="A79" s="149" t="s">
        <v>226</v>
      </c>
      <c r="B79" s="82">
        <f t="shared" ref="B79:B110" si="16">C79+C250</f>
        <v>8.1999999999999993</v>
      </c>
      <c r="C79" s="82">
        <f t="shared" si="15"/>
        <v>7</v>
      </c>
      <c r="D79" s="82">
        <v>0.4</v>
      </c>
      <c r="E79" s="82">
        <v>0.5</v>
      </c>
      <c r="F79" s="82">
        <v>0.5</v>
      </c>
      <c r="G79" s="86">
        <v>2.1</v>
      </c>
      <c r="H79" s="82">
        <v>2</v>
      </c>
      <c r="I79" s="82">
        <v>1.4</v>
      </c>
      <c r="J79" s="83">
        <v>0.1</v>
      </c>
    </row>
    <row r="80" spans="1:10" ht="14.55" customHeight="1" x14ac:dyDescent="0.3">
      <c r="A80" s="149" t="s">
        <v>227</v>
      </c>
      <c r="B80" s="82">
        <f t="shared" si="16"/>
        <v>8</v>
      </c>
      <c r="C80" s="82">
        <f t="shared" si="15"/>
        <v>6.8</v>
      </c>
      <c r="D80" s="82">
        <v>0.4</v>
      </c>
      <c r="E80" s="82">
        <v>0.5</v>
      </c>
      <c r="F80" s="82">
        <v>0.5</v>
      </c>
      <c r="G80" s="86">
        <v>2.2000000000000002</v>
      </c>
      <c r="H80" s="82">
        <v>1.8</v>
      </c>
      <c r="I80" s="82">
        <v>1.3</v>
      </c>
      <c r="J80" s="83">
        <v>0.1</v>
      </c>
    </row>
    <row r="81" spans="1:10" ht="14.55" customHeight="1" x14ac:dyDescent="0.3">
      <c r="A81" s="149" t="s">
        <v>228</v>
      </c>
      <c r="B81" s="82">
        <f t="shared" si="16"/>
        <v>8.9</v>
      </c>
      <c r="C81" s="82">
        <f t="shared" si="15"/>
        <v>7.7</v>
      </c>
      <c r="D81" s="82">
        <v>0.4</v>
      </c>
      <c r="E81" s="82">
        <v>0.5</v>
      </c>
      <c r="F81" s="82">
        <v>0.6</v>
      </c>
      <c r="G81" s="86">
        <v>2.2000000000000002</v>
      </c>
      <c r="H81" s="82">
        <v>2.1</v>
      </c>
      <c r="I81" s="82">
        <v>1.8</v>
      </c>
      <c r="J81" s="83">
        <v>0.1</v>
      </c>
    </row>
    <row r="82" spans="1:10" ht="14.55" customHeight="1" x14ac:dyDescent="0.3">
      <c r="A82" s="149" t="s">
        <v>229</v>
      </c>
      <c r="B82" s="82">
        <f t="shared" si="16"/>
        <v>7.1</v>
      </c>
      <c r="C82" s="82">
        <f t="shared" si="15"/>
        <v>5.8999999999999995</v>
      </c>
      <c r="D82" s="82">
        <v>0.4</v>
      </c>
      <c r="E82" s="82">
        <v>0.5</v>
      </c>
      <c r="F82" s="82">
        <v>0.4</v>
      </c>
      <c r="G82" s="86">
        <v>1.8</v>
      </c>
      <c r="H82" s="82">
        <v>1.5</v>
      </c>
      <c r="I82" s="82">
        <v>1.2</v>
      </c>
      <c r="J82" s="83">
        <v>0.1</v>
      </c>
    </row>
    <row r="83" spans="1:10" ht="14.55" customHeight="1" x14ac:dyDescent="0.3">
      <c r="A83" s="149" t="s">
        <v>230</v>
      </c>
      <c r="B83" s="82">
        <f t="shared" si="16"/>
        <v>8.1999999999999993</v>
      </c>
      <c r="C83" s="82">
        <f t="shared" si="15"/>
        <v>7</v>
      </c>
      <c r="D83" s="82">
        <v>0.4</v>
      </c>
      <c r="E83" s="82">
        <v>0.5</v>
      </c>
      <c r="F83" s="82">
        <v>0.5</v>
      </c>
      <c r="G83" s="86">
        <v>2.2000000000000002</v>
      </c>
      <c r="H83" s="82">
        <v>1.9</v>
      </c>
      <c r="I83" s="82">
        <v>1.4</v>
      </c>
      <c r="J83" s="83">
        <v>0.1</v>
      </c>
    </row>
    <row r="84" spans="1:10" ht="14.55" customHeight="1" x14ac:dyDescent="0.3">
      <c r="A84" s="149" t="s">
        <v>231</v>
      </c>
      <c r="B84" s="82">
        <f t="shared" si="16"/>
        <v>8.5</v>
      </c>
      <c r="C84" s="82">
        <f t="shared" si="15"/>
        <v>7.2999999999999989</v>
      </c>
      <c r="D84" s="82">
        <v>0.4</v>
      </c>
      <c r="E84" s="82">
        <v>0.5</v>
      </c>
      <c r="F84" s="82">
        <v>0.5</v>
      </c>
      <c r="G84" s="86">
        <v>2.1</v>
      </c>
      <c r="H84" s="82">
        <v>2.1</v>
      </c>
      <c r="I84" s="82">
        <v>1.6</v>
      </c>
      <c r="J84" s="83">
        <v>0.1</v>
      </c>
    </row>
    <row r="85" spans="1:10" ht="14.55" customHeight="1" x14ac:dyDescent="0.3">
      <c r="A85" s="149" t="s">
        <v>232</v>
      </c>
      <c r="B85" s="82">
        <f t="shared" si="16"/>
        <v>10.399999999999999</v>
      </c>
      <c r="C85" s="82">
        <f t="shared" si="15"/>
        <v>9.1999999999999993</v>
      </c>
      <c r="D85" s="82">
        <v>0.5</v>
      </c>
      <c r="E85" s="82">
        <v>0.5</v>
      </c>
      <c r="F85" s="82">
        <v>0.6</v>
      </c>
      <c r="G85" s="86">
        <v>2.4</v>
      </c>
      <c r="H85" s="82">
        <v>3</v>
      </c>
      <c r="I85" s="82">
        <v>2.1</v>
      </c>
      <c r="J85" s="83">
        <v>0.1</v>
      </c>
    </row>
    <row r="86" spans="1:10" ht="14.55" customHeight="1" x14ac:dyDescent="0.3">
      <c r="A86" s="149" t="s">
        <v>233</v>
      </c>
      <c r="B86" s="82">
        <f t="shared" si="16"/>
        <v>8.5</v>
      </c>
      <c r="C86" s="82">
        <f t="shared" si="15"/>
        <v>7.3</v>
      </c>
      <c r="D86" s="82">
        <v>0.4</v>
      </c>
      <c r="E86" s="82">
        <v>0.5</v>
      </c>
      <c r="F86" s="82">
        <v>0.5</v>
      </c>
      <c r="G86" s="86">
        <v>2</v>
      </c>
      <c r="H86" s="82">
        <v>2.1</v>
      </c>
      <c r="I86" s="82">
        <v>1.7</v>
      </c>
      <c r="J86" s="83">
        <v>0.1</v>
      </c>
    </row>
    <row r="87" spans="1:10" ht="14.55" customHeight="1" x14ac:dyDescent="0.3">
      <c r="A87" s="149" t="s">
        <v>234</v>
      </c>
      <c r="B87" s="82">
        <f t="shared" si="16"/>
        <v>9.1</v>
      </c>
      <c r="C87" s="82">
        <f t="shared" si="15"/>
        <v>7.8999999999999995</v>
      </c>
      <c r="D87" s="82">
        <v>0.4</v>
      </c>
      <c r="E87" s="82">
        <v>0.5</v>
      </c>
      <c r="F87" s="82">
        <v>0.5</v>
      </c>
      <c r="G87" s="86">
        <v>2.2000000000000002</v>
      </c>
      <c r="H87" s="82">
        <v>2.4</v>
      </c>
      <c r="I87" s="82">
        <v>1.8</v>
      </c>
      <c r="J87" s="83">
        <v>0.1</v>
      </c>
    </row>
    <row r="88" spans="1:10" ht="14.55" customHeight="1" x14ac:dyDescent="0.3">
      <c r="A88" s="149" t="s">
        <v>235</v>
      </c>
      <c r="B88" s="82">
        <f t="shared" si="16"/>
        <v>9.5</v>
      </c>
      <c r="C88" s="82">
        <f t="shared" si="15"/>
        <v>8.2999999999999989</v>
      </c>
      <c r="D88" s="82">
        <v>0.4</v>
      </c>
      <c r="E88" s="82">
        <v>0.5</v>
      </c>
      <c r="F88" s="82">
        <v>0.5</v>
      </c>
      <c r="G88" s="86">
        <v>2.2999999999999998</v>
      </c>
      <c r="H88" s="82">
        <v>2.8</v>
      </c>
      <c r="I88" s="82">
        <v>1.7</v>
      </c>
      <c r="J88" s="83">
        <v>0.1</v>
      </c>
    </row>
    <row r="89" spans="1:10" ht="14.55" customHeight="1" x14ac:dyDescent="0.3">
      <c r="A89" s="149" t="s">
        <v>236</v>
      </c>
      <c r="B89" s="82">
        <f t="shared" si="16"/>
        <v>11.899999999999999</v>
      </c>
      <c r="C89" s="82">
        <f t="shared" si="15"/>
        <v>10.7</v>
      </c>
      <c r="D89" s="82">
        <v>0.5</v>
      </c>
      <c r="E89" s="82">
        <v>0.6</v>
      </c>
      <c r="F89" s="82">
        <v>0.6</v>
      </c>
      <c r="G89" s="86">
        <v>3</v>
      </c>
      <c r="H89" s="82">
        <v>4</v>
      </c>
      <c r="I89" s="82">
        <v>1.9</v>
      </c>
      <c r="J89" s="83">
        <v>0.1</v>
      </c>
    </row>
    <row r="90" spans="1:10" ht="14.55" customHeight="1" x14ac:dyDescent="0.3">
      <c r="A90" s="149" t="s">
        <v>237</v>
      </c>
      <c r="B90" s="82">
        <f t="shared" si="16"/>
        <v>9.3999999999999986</v>
      </c>
      <c r="C90" s="82">
        <f t="shared" si="15"/>
        <v>8.1999999999999993</v>
      </c>
      <c r="D90" s="82">
        <v>0.5</v>
      </c>
      <c r="E90" s="82">
        <v>0.5</v>
      </c>
      <c r="F90" s="82">
        <v>0.5</v>
      </c>
      <c r="G90" s="86">
        <v>2.2999999999999998</v>
      </c>
      <c r="H90" s="82">
        <v>2.8</v>
      </c>
      <c r="I90" s="82">
        <v>1.5</v>
      </c>
      <c r="J90" s="83">
        <v>0.1</v>
      </c>
    </row>
    <row r="91" spans="1:10" ht="14.55" customHeight="1" x14ac:dyDescent="0.3">
      <c r="A91" s="149" t="s">
        <v>238</v>
      </c>
      <c r="B91" s="82">
        <f t="shared" si="16"/>
        <v>9.8999999999999986</v>
      </c>
      <c r="C91" s="82">
        <f t="shared" si="15"/>
        <v>8.6999999999999993</v>
      </c>
      <c r="D91" s="82">
        <v>0.4</v>
      </c>
      <c r="E91" s="82">
        <v>0.5</v>
      </c>
      <c r="F91" s="82">
        <v>0.5</v>
      </c>
      <c r="G91" s="86">
        <v>2.5</v>
      </c>
      <c r="H91" s="82">
        <v>3.4</v>
      </c>
      <c r="I91" s="82">
        <v>1.4</v>
      </c>
      <c r="J91" s="83">
        <v>0</v>
      </c>
    </row>
    <row r="92" spans="1:10" ht="14.55" customHeight="1" x14ac:dyDescent="0.3">
      <c r="A92" s="149" t="s">
        <v>239</v>
      </c>
      <c r="B92" s="82">
        <f t="shared" si="16"/>
        <v>10.3</v>
      </c>
      <c r="C92" s="82">
        <f t="shared" si="15"/>
        <v>9.1000000000000014</v>
      </c>
      <c r="D92" s="82">
        <v>0.5</v>
      </c>
      <c r="E92" s="82">
        <v>0.5</v>
      </c>
      <c r="F92" s="82">
        <v>0.6</v>
      </c>
      <c r="G92" s="86">
        <v>2.7</v>
      </c>
      <c r="H92" s="82">
        <v>3.5</v>
      </c>
      <c r="I92" s="82">
        <v>1.3</v>
      </c>
      <c r="J92" s="83">
        <v>0</v>
      </c>
    </row>
    <row r="93" spans="1:10" ht="14.55" customHeight="1" x14ac:dyDescent="0.3">
      <c r="A93" s="149" t="s">
        <v>240</v>
      </c>
      <c r="B93" s="82">
        <f t="shared" si="16"/>
        <v>13.000000000000002</v>
      </c>
      <c r="C93" s="82">
        <f t="shared" si="15"/>
        <v>11.700000000000001</v>
      </c>
      <c r="D93" s="82">
        <v>0.5</v>
      </c>
      <c r="E93" s="82">
        <v>0.6</v>
      </c>
      <c r="F93" s="82">
        <v>0.7</v>
      </c>
      <c r="G93" s="86">
        <v>3.6</v>
      </c>
      <c r="H93" s="82">
        <v>5</v>
      </c>
      <c r="I93" s="82">
        <v>1.3</v>
      </c>
      <c r="J93" s="83">
        <v>0</v>
      </c>
    </row>
    <row r="94" spans="1:10" ht="14.55" customHeight="1" x14ac:dyDescent="0.3">
      <c r="A94" s="149" t="s">
        <v>241</v>
      </c>
      <c r="B94" s="82">
        <f t="shared" si="16"/>
        <v>10.9</v>
      </c>
      <c r="C94" s="82">
        <f t="shared" si="15"/>
        <v>9.6</v>
      </c>
      <c r="D94" s="82">
        <v>0.5</v>
      </c>
      <c r="E94" s="82">
        <v>0.6</v>
      </c>
      <c r="F94" s="82">
        <v>0.6</v>
      </c>
      <c r="G94" s="86">
        <v>2.7</v>
      </c>
      <c r="H94" s="82">
        <v>4.3</v>
      </c>
      <c r="I94" s="82">
        <v>0.9</v>
      </c>
      <c r="J94" s="83">
        <v>0</v>
      </c>
    </row>
    <row r="95" spans="1:10" ht="14.55" customHeight="1" x14ac:dyDescent="0.3">
      <c r="A95" s="149" t="s">
        <v>242</v>
      </c>
      <c r="B95" s="82">
        <f t="shared" si="16"/>
        <v>13.100000000000001</v>
      </c>
      <c r="C95" s="82">
        <f t="shared" si="15"/>
        <v>11.700000000000001</v>
      </c>
      <c r="D95" s="82">
        <v>0.5</v>
      </c>
      <c r="E95" s="82">
        <v>0.6</v>
      </c>
      <c r="F95" s="82">
        <v>0.7</v>
      </c>
      <c r="G95" s="86">
        <v>3.4</v>
      </c>
      <c r="H95" s="82">
        <v>5.6</v>
      </c>
      <c r="I95" s="82">
        <v>0.9</v>
      </c>
      <c r="J95" s="83">
        <v>0</v>
      </c>
    </row>
    <row r="96" spans="1:10" ht="14.55" customHeight="1" x14ac:dyDescent="0.3">
      <c r="A96" s="149" t="s">
        <v>243</v>
      </c>
      <c r="B96" s="82">
        <f t="shared" si="16"/>
        <v>12.6</v>
      </c>
      <c r="C96" s="82">
        <f t="shared" si="15"/>
        <v>11.299999999999999</v>
      </c>
      <c r="D96" s="82">
        <v>0.5</v>
      </c>
      <c r="E96" s="82">
        <v>0.6</v>
      </c>
      <c r="F96" s="82">
        <v>0.6</v>
      </c>
      <c r="G96" s="86">
        <v>3</v>
      </c>
      <c r="H96" s="82">
        <v>6</v>
      </c>
      <c r="I96" s="82">
        <v>0.6</v>
      </c>
      <c r="J96" s="83">
        <v>0</v>
      </c>
    </row>
    <row r="97" spans="1:10" ht="14.55" customHeight="1" x14ac:dyDescent="0.3">
      <c r="A97" s="149" t="s">
        <v>244</v>
      </c>
      <c r="B97" s="82">
        <f t="shared" si="16"/>
        <v>16.279999999999998</v>
      </c>
      <c r="C97" s="82">
        <f>SUM(D97:J97)</f>
        <v>14.899999999999999</v>
      </c>
      <c r="D97" s="82">
        <v>0.6</v>
      </c>
      <c r="E97" s="82">
        <v>0.7</v>
      </c>
      <c r="F97" s="82">
        <v>0.7</v>
      </c>
      <c r="G97" s="86">
        <v>4.0999999999999996</v>
      </c>
      <c r="H97" s="82">
        <v>8.1</v>
      </c>
      <c r="I97" s="82">
        <v>0.7</v>
      </c>
      <c r="J97" s="83">
        <v>0</v>
      </c>
    </row>
    <row r="98" spans="1:10" ht="14.55" customHeight="1" x14ac:dyDescent="0.3">
      <c r="A98" s="149" t="s">
        <v>140</v>
      </c>
      <c r="B98" s="82">
        <f t="shared" si="16"/>
        <v>14.299999999999999</v>
      </c>
      <c r="C98" s="82">
        <f t="shared" ref="C98:C129" si="17">SUM(D98:J98)</f>
        <v>12.799999999999999</v>
      </c>
      <c r="D98" s="82">
        <v>0.5</v>
      </c>
      <c r="E98" s="82">
        <v>0.6</v>
      </c>
      <c r="F98" s="82">
        <v>0.6</v>
      </c>
      <c r="G98" s="86">
        <v>3.5</v>
      </c>
      <c r="H98" s="82">
        <v>7</v>
      </c>
      <c r="I98" s="82">
        <v>0.6</v>
      </c>
      <c r="J98" s="83">
        <v>0</v>
      </c>
    </row>
    <row r="99" spans="1:10" ht="14.55" customHeight="1" x14ac:dyDescent="0.3">
      <c r="A99" s="149" t="s">
        <v>141</v>
      </c>
      <c r="B99" s="82">
        <f t="shared" si="16"/>
        <v>15.1</v>
      </c>
      <c r="C99" s="82">
        <f t="shared" si="17"/>
        <v>13.7</v>
      </c>
      <c r="D99" s="82">
        <v>0.5</v>
      </c>
      <c r="E99" s="82">
        <v>0.7</v>
      </c>
      <c r="F99" s="82">
        <v>0.8</v>
      </c>
      <c r="G99" s="86">
        <v>4</v>
      </c>
      <c r="H99" s="82">
        <v>7.2</v>
      </c>
      <c r="I99" s="82">
        <v>0.5</v>
      </c>
      <c r="J99" s="83">
        <v>0</v>
      </c>
    </row>
    <row r="100" spans="1:10" ht="14.55" customHeight="1" x14ac:dyDescent="0.3">
      <c r="A100" s="149" t="s">
        <v>142</v>
      </c>
      <c r="B100" s="82">
        <f t="shared" si="16"/>
        <v>12.8</v>
      </c>
      <c r="C100" s="82">
        <f t="shared" si="17"/>
        <v>11.4</v>
      </c>
      <c r="D100" s="82">
        <v>0.5</v>
      </c>
      <c r="E100" s="82">
        <v>0.6</v>
      </c>
      <c r="F100" s="82">
        <v>0.6</v>
      </c>
      <c r="G100" s="86">
        <v>3.2</v>
      </c>
      <c r="H100" s="82">
        <v>5.9</v>
      </c>
      <c r="I100" s="82">
        <v>0.6</v>
      </c>
      <c r="J100" s="83">
        <v>0</v>
      </c>
    </row>
    <row r="101" spans="1:10" ht="14.55" customHeight="1" x14ac:dyDescent="0.3">
      <c r="A101" s="149" t="s">
        <v>143</v>
      </c>
      <c r="B101" s="82">
        <f t="shared" si="16"/>
        <v>13.7</v>
      </c>
      <c r="C101" s="82">
        <f t="shared" si="17"/>
        <v>12.1</v>
      </c>
      <c r="D101" s="82">
        <v>0.6</v>
      </c>
      <c r="E101" s="82">
        <v>0.7</v>
      </c>
      <c r="F101" s="82">
        <v>0.8</v>
      </c>
      <c r="G101" s="86">
        <v>0.5</v>
      </c>
      <c r="H101" s="82">
        <v>9</v>
      </c>
      <c r="I101" s="82">
        <v>0.5</v>
      </c>
      <c r="J101" s="83">
        <v>0</v>
      </c>
    </row>
    <row r="102" spans="1:10" ht="14.55" customHeight="1" x14ac:dyDescent="0.3">
      <c r="A102" s="149" t="s">
        <v>144</v>
      </c>
      <c r="B102" s="82">
        <f t="shared" si="16"/>
        <v>14</v>
      </c>
      <c r="C102" s="82">
        <f t="shared" si="17"/>
        <v>12.5</v>
      </c>
      <c r="D102" s="82">
        <v>0.5</v>
      </c>
      <c r="E102" s="82">
        <v>0.7</v>
      </c>
      <c r="F102" s="82">
        <v>0.7</v>
      </c>
      <c r="G102" s="86">
        <v>3.4</v>
      </c>
      <c r="H102" s="82">
        <v>6.4</v>
      </c>
      <c r="I102" s="82">
        <v>0.8</v>
      </c>
      <c r="J102" s="83">
        <v>0</v>
      </c>
    </row>
    <row r="103" spans="1:10" ht="14.55" customHeight="1" x14ac:dyDescent="0.3">
      <c r="A103" s="149" t="s">
        <v>145</v>
      </c>
      <c r="B103" s="82">
        <f t="shared" si="16"/>
        <v>17</v>
      </c>
      <c r="C103" s="82">
        <f t="shared" si="17"/>
        <v>15.5</v>
      </c>
      <c r="D103" s="82">
        <v>0.6</v>
      </c>
      <c r="E103" s="82">
        <v>0.7</v>
      </c>
      <c r="F103" s="82">
        <v>0.7</v>
      </c>
      <c r="G103" s="86">
        <v>4.4000000000000004</v>
      </c>
      <c r="H103" s="82">
        <v>8.1</v>
      </c>
      <c r="I103" s="82">
        <v>1</v>
      </c>
      <c r="J103" s="83">
        <v>0</v>
      </c>
    </row>
    <row r="104" spans="1:10" ht="14.55" customHeight="1" x14ac:dyDescent="0.3">
      <c r="A104" s="149" t="s">
        <v>146</v>
      </c>
      <c r="B104" s="82">
        <f t="shared" si="16"/>
        <v>16</v>
      </c>
      <c r="C104" s="82">
        <f t="shared" si="17"/>
        <v>14.5</v>
      </c>
      <c r="D104" s="82">
        <v>0.6</v>
      </c>
      <c r="E104" s="82">
        <v>0.7</v>
      </c>
      <c r="F104" s="82">
        <v>0.8</v>
      </c>
      <c r="G104" s="86">
        <v>4.4000000000000004</v>
      </c>
      <c r="H104" s="82">
        <v>7</v>
      </c>
      <c r="I104" s="82">
        <v>1</v>
      </c>
      <c r="J104" s="83">
        <v>0</v>
      </c>
    </row>
    <row r="105" spans="1:10" ht="14.55" customHeight="1" x14ac:dyDescent="0.3">
      <c r="A105" s="149" t="s">
        <v>147</v>
      </c>
      <c r="B105" s="82">
        <f t="shared" si="16"/>
        <v>21.5</v>
      </c>
      <c r="C105" s="82">
        <f t="shared" si="17"/>
        <v>20</v>
      </c>
      <c r="D105" s="82">
        <v>0.6</v>
      </c>
      <c r="E105" s="82">
        <v>0.7</v>
      </c>
      <c r="F105" s="82">
        <v>0.8</v>
      </c>
      <c r="G105" s="86">
        <v>5.4</v>
      </c>
      <c r="H105" s="82">
        <v>11.1</v>
      </c>
      <c r="I105" s="82">
        <v>1.4</v>
      </c>
      <c r="J105" s="83">
        <v>0</v>
      </c>
    </row>
    <row r="106" spans="1:10" ht="14.55" customHeight="1" x14ac:dyDescent="0.3">
      <c r="A106" s="149" t="s">
        <v>148</v>
      </c>
      <c r="B106" s="82">
        <f t="shared" si="16"/>
        <v>16.099999999999998</v>
      </c>
      <c r="C106" s="82">
        <f t="shared" si="17"/>
        <v>14.499999999999998</v>
      </c>
      <c r="D106" s="82">
        <v>0.6</v>
      </c>
      <c r="E106" s="82">
        <v>0.7</v>
      </c>
      <c r="F106" s="82">
        <v>0.8</v>
      </c>
      <c r="G106" s="86">
        <v>4.0999999999999996</v>
      </c>
      <c r="H106" s="82">
        <v>7.1</v>
      </c>
      <c r="I106" s="82">
        <v>1.2</v>
      </c>
      <c r="J106" s="83">
        <v>0</v>
      </c>
    </row>
    <row r="107" spans="1:10" ht="14.55" customHeight="1" x14ac:dyDescent="0.3">
      <c r="A107" s="149" t="s">
        <v>149</v>
      </c>
      <c r="B107" s="82">
        <f t="shared" si="16"/>
        <v>17.100000000000001</v>
      </c>
      <c r="C107" s="82">
        <f t="shared" si="17"/>
        <v>15.6</v>
      </c>
      <c r="D107" s="82">
        <v>0.6</v>
      </c>
      <c r="E107" s="82">
        <v>0.8</v>
      </c>
      <c r="F107" s="82">
        <v>0.9</v>
      </c>
      <c r="G107" s="86">
        <v>4.3</v>
      </c>
      <c r="H107" s="82">
        <v>7.4</v>
      </c>
      <c r="I107" s="82">
        <v>1.6</v>
      </c>
      <c r="J107" s="83">
        <v>0</v>
      </c>
    </row>
    <row r="108" spans="1:10" ht="14.55" customHeight="1" x14ac:dyDescent="0.3">
      <c r="A108" s="149" t="s">
        <v>150</v>
      </c>
      <c r="B108" s="82">
        <f t="shared" si="16"/>
        <v>17.02</v>
      </c>
      <c r="C108" s="82">
        <f t="shared" si="17"/>
        <v>15.53</v>
      </c>
      <c r="D108" s="82">
        <v>0.61</v>
      </c>
      <c r="E108" s="82">
        <v>0.77</v>
      </c>
      <c r="F108" s="82">
        <v>0.85</v>
      </c>
      <c r="G108" s="86">
        <v>4.0999999999999996</v>
      </c>
      <c r="H108" s="82">
        <v>6.1</v>
      </c>
      <c r="I108" s="82">
        <v>3.1</v>
      </c>
      <c r="J108" s="83">
        <v>0</v>
      </c>
    </row>
    <row r="109" spans="1:10" ht="14.55" customHeight="1" x14ac:dyDescent="0.3">
      <c r="A109" s="149" t="s">
        <v>151</v>
      </c>
      <c r="B109" s="82">
        <f t="shared" si="16"/>
        <v>24.9</v>
      </c>
      <c r="C109" s="82">
        <f t="shared" si="17"/>
        <v>23.299999999999997</v>
      </c>
      <c r="D109" s="82">
        <v>0.7</v>
      </c>
      <c r="E109" s="82">
        <v>0.9</v>
      </c>
      <c r="F109" s="82">
        <v>1</v>
      </c>
      <c r="G109" s="86">
        <v>5.5</v>
      </c>
      <c r="H109" s="82">
        <v>9.3000000000000007</v>
      </c>
      <c r="I109" s="82">
        <v>5.9</v>
      </c>
      <c r="J109" s="83">
        <v>0</v>
      </c>
    </row>
    <row r="110" spans="1:10" ht="14.55" customHeight="1" x14ac:dyDescent="0.3">
      <c r="A110" s="149" t="s">
        <v>152</v>
      </c>
      <c r="B110" s="82">
        <f t="shared" si="16"/>
        <v>20</v>
      </c>
      <c r="C110" s="82">
        <f t="shared" si="17"/>
        <v>18.399999999999999</v>
      </c>
      <c r="D110" s="82">
        <v>0.6</v>
      </c>
      <c r="E110" s="82">
        <v>0.8</v>
      </c>
      <c r="F110" s="82">
        <v>1</v>
      </c>
      <c r="G110" s="86">
        <v>4.5</v>
      </c>
      <c r="H110" s="82">
        <v>6.4</v>
      </c>
      <c r="I110" s="82">
        <v>5.0999999999999996</v>
      </c>
      <c r="J110" s="83">
        <v>0</v>
      </c>
    </row>
    <row r="111" spans="1:10" ht="14.55" customHeight="1" x14ac:dyDescent="0.3">
      <c r="A111" s="149" t="s">
        <v>153</v>
      </c>
      <c r="B111" s="82">
        <f t="shared" ref="B111:B142" si="18">C111+C282</f>
        <v>18.400000000000002</v>
      </c>
      <c r="C111" s="82">
        <f t="shared" si="17"/>
        <v>16.8</v>
      </c>
      <c r="D111" s="82">
        <v>0.6</v>
      </c>
      <c r="E111" s="82">
        <v>0.8</v>
      </c>
      <c r="F111" s="82">
        <v>0.8</v>
      </c>
      <c r="G111" s="86">
        <v>3.8</v>
      </c>
      <c r="H111" s="82">
        <v>5.3</v>
      </c>
      <c r="I111" s="82">
        <v>5.5</v>
      </c>
      <c r="J111" s="83">
        <v>0</v>
      </c>
    </row>
    <row r="112" spans="1:10" ht="14.55" customHeight="1" x14ac:dyDescent="0.3">
      <c r="A112" s="149" t="s">
        <v>154</v>
      </c>
      <c r="B112" s="82">
        <f t="shared" si="18"/>
        <v>18.8</v>
      </c>
      <c r="C112" s="82">
        <f t="shared" si="17"/>
        <v>17.2</v>
      </c>
      <c r="D112" s="82">
        <v>0.6</v>
      </c>
      <c r="E112" s="82">
        <v>0.7</v>
      </c>
      <c r="F112" s="82">
        <v>0.8</v>
      </c>
      <c r="G112" s="86">
        <v>3.9</v>
      </c>
      <c r="H112" s="82">
        <v>5.6</v>
      </c>
      <c r="I112" s="82">
        <v>5.6</v>
      </c>
      <c r="J112" s="83">
        <v>0</v>
      </c>
    </row>
    <row r="113" spans="1:10" ht="14.55" customHeight="1" x14ac:dyDescent="0.3">
      <c r="A113" s="149" t="s">
        <v>155</v>
      </c>
      <c r="B113" s="82">
        <f t="shared" si="18"/>
        <v>25.2</v>
      </c>
      <c r="C113" s="82">
        <f t="shared" si="17"/>
        <v>23.7</v>
      </c>
      <c r="D113" s="82">
        <v>0.7</v>
      </c>
      <c r="E113" s="82">
        <v>0.8</v>
      </c>
      <c r="F113" s="82">
        <v>1</v>
      </c>
      <c r="G113" s="86">
        <v>5</v>
      </c>
      <c r="H113" s="82">
        <v>7.5</v>
      </c>
      <c r="I113" s="82">
        <v>8.6999999999999993</v>
      </c>
      <c r="J113" s="83">
        <v>0</v>
      </c>
    </row>
    <row r="114" spans="1:10" ht="14.55" customHeight="1" x14ac:dyDescent="0.3">
      <c r="A114" s="149" t="s">
        <v>156</v>
      </c>
      <c r="B114" s="82">
        <f t="shared" si="18"/>
        <v>18.7</v>
      </c>
      <c r="C114" s="82">
        <f t="shared" si="17"/>
        <v>17.2</v>
      </c>
      <c r="D114" s="82">
        <v>0.7</v>
      </c>
      <c r="E114" s="82">
        <v>0.8</v>
      </c>
      <c r="F114" s="82">
        <v>0.8</v>
      </c>
      <c r="G114" s="86">
        <v>3.8</v>
      </c>
      <c r="H114" s="82">
        <v>5.0999999999999996</v>
      </c>
      <c r="I114" s="82">
        <v>6</v>
      </c>
      <c r="J114" s="83">
        <v>0</v>
      </c>
    </row>
    <row r="115" spans="1:10" ht="14.55" customHeight="1" x14ac:dyDescent="0.3">
      <c r="A115" s="149" t="s">
        <v>157</v>
      </c>
      <c r="B115" s="82">
        <f t="shared" si="18"/>
        <v>21</v>
      </c>
      <c r="C115" s="82">
        <f t="shared" si="17"/>
        <v>19.5</v>
      </c>
      <c r="D115" s="82">
        <v>0.7</v>
      </c>
      <c r="E115" s="82">
        <v>0.8</v>
      </c>
      <c r="F115" s="82">
        <v>0.8</v>
      </c>
      <c r="G115" s="86">
        <v>4.5</v>
      </c>
      <c r="H115" s="82">
        <v>6.1</v>
      </c>
      <c r="I115" s="82">
        <v>6.6</v>
      </c>
      <c r="J115" s="83">
        <v>0</v>
      </c>
    </row>
    <row r="116" spans="1:10" ht="14.55" customHeight="1" x14ac:dyDescent="0.3">
      <c r="A116" s="149" t="s">
        <v>158</v>
      </c>
      <c r="B116" s="82">
        <f t="shared" si="18"/>
        <v>23.700000000000003</v>
      </c>
      <c r="C116" s="82">
        <f t="shared" si="17"/>
        <v>22.200000000000003</v>
      </c>
      <c r="D116" s="82">
        <v>0.7</v>
      </c>
      <c r="E116" s="82">
        <v>0.8</v>
      </c>
      <c r="F116" s="82">
        <v>0.7</v>
      </c>
      <c r="G116" s="86">
        <v>4.4000000000000004</v>
      </c>
      <c r="H116" s="82">
        <v>6.5</v>
      </c>
      <c r="I116" s="82">
        <v>9.1</v>
      </c>
      <c r="J116" s="83">
        <v>0</v>
      </c>
    </row>
    <row r="117" spans="1:10" ht="14.55" customHeight="1" x14ac:dyDescent="0.3">
      <c r="A117" s="149" t="s">
        <v>159</v>
      </c>
      <c r="B117" s="82">
        <f t="shared" si="18"/>
        <v>27.860210160000005</v>
      </c>
      <c r="C117" s="82">
        <f t="shared" si="17"/>
        <v>26.185804000000005</v>
      </c>
      <c r="D117" s="82">
        <v>0.69714350000000003</v>
      </c>
      <c r="E117" s="82">
        <v>0.84083799999999997</v>
      </c>
      <c r="F117" s="82">
        <v>0.89750249999999998</v>
      </c>
      <c r="G117" s="86">
        <v>5.61782</v>
      </c>
      <c r="H117" s="82">
        <v>8.4676500000000008</v>
      </c>
      <c r="I117" s="82">
        <v>9.6648499999999995</v>
      </c>
      <c r="J117" s="83">
        <v>0</v>
      </c>
    </row>
    <row r="118" spans="1:10" ht="14.55" customHeight="1" x14ac:dyDescent="0.3">
      <c r="A118" s="149" t="s">
        <v>160</v>
      </c>
      <c r="B118" s="82">
        <f t="shared" si="18"/>
        <v>20.565581560000002</v>
      </c>
      <c r="C118" s="82">
        <f t="shared" si="17"/>
        <v>18.886023000000002</v>
      </c>
      <c r="D118" s="82">
        <v>0.67895950000000005</v>
      </c>
      <c r="E118" s="82">
        <v>0.79864599999999997</v>
      </c>
      <c r="F118" s="82">
        <v>0.87116249999999995</v>
      </c>
      <c r="G118" s="86">
        <v>3.898765</v>
      </c>
      <c r="H118" s="82">
        <v>5.3566399999999996</v>
      </c>
      <c r="I118" s="82">
        <v>7.2818500000000004</v>
      </c>
      <c r="J118" s="83">
        <v>0</v>
      </c>
    </row>
    <row r="119" spans="1:10" ht="14.55" customHeight="1" x14ac:dyDescent="0.3">
      <c r="A119" s="149" t="s">
        <v>161</v>
      </c>
      <c r="B119" s="82">
        <f t="shared" si="18"/>
        <v>22.222498460000001</v>
      </c>
      <c r="C119" s="82">
        <f t="shared" si="17"/>
        <v>20.564759000000002</v>
      </c>
      <c r="D119" s="82">
        <v>0.69131050000000005</v>
      </c>
      <c r="E119" s="82">
        <v>0.80398599999999998</v>
      </c>
      <c r="F119" s="82">
        <v>0.87403249999999999</v>
      </c>
      <c r="G119" s="86">
        <v>3.9041700000000001</v>
      </c>
      <c r="H119" s="82">
        <v>6.1478099999999998</v>
      </c>
      <c r="I119" s="82">
        <v>8.1434499999999996</v>
      </c>
      <c r="J119" s="83">
        <v>0</v>
      </c>
    </row>
    <row r="120" spans="1:10" ht="14.55" customHeight="1" x14ac:dyDescent="0.3">
      <c r="A120" s="149" t="s">
        <v>162</v>
      </c>
      <c r="B120" s="82">
        <f t="shared" si="18"/>
        <v>23.62647759</v>
      </c>
      <c r="C120" s="82">
        <f t="shared" si="17"/>
        <v>21.960265499999998</v>
      </c>
      <c r="D120" s="82">
        <v>0.69114600000000004</v>
      </c>
      <c r="E120" s="82">
        <v>0.82220199999999999</v>
      </c>
      <c r="F120" s="82">
        <v>0.89502749999999998</v>
      </c>
      <c r="G120" s="86">
        <v>4.125095</v>
      </c>
      <c r="H120" s="82">
        <v>6.53857</v>
      </c>
      <c r="I120" s="82">
        <v>8.8882250000000003</v>
      </c>
      <c r="J120" s="83">
        <v>0</v>
      </c>
    </row>
    <row r="121" spans="1:10" ht="14.55" customHeight="1" x14ac:dyDescent="0.3">
      <c r="A121" s="149" t="s">
        <v>163</v>
      </c>
      <c r="B121" s="82">
        <f t="shared" si="18"/>
        <v>32.306872689999999</v>
      </c>
      <c r="C121" s="82">
        <f t="shared" si="17"/>
        <v>30.605114499999999</v>
      </c>
      <c r="D121" s="82">
        <v>0.75200449999999996</v>
      </c>
      <c r="E121" s="82">
        <v>0.92568499999999998</v>
      </c>
      <c r="F121" s="82">
        <v>1.08595</v>
      </c>
      <c r="G121" s="86">
        <v>5.46774</v>
      </c>
      <c r="H121" s="82">
        <v>9.6311099999999996</v>
      </c>
      <c r="I121" s="82">
        <v>12.742625</v>
      </c>
      <c r="J121" s="83">
        <v>0</v>
      </c>
    </row>
    <row r="122" spans="1:10" ht="14.55" customHeight="1" x14ac:dyDescent="0.3">
      <c r="A122" s="149" t="s">
        <v>164</v>
      </c>
      <c r="B122" s="82">
        <f t="shared" si="18"/>
        <v>23.274152440000002</v>
      </c>
      <c r="C122" s="82">
        <f t="shared" si="17"/>
        <v>21.568660000000001</v>
      </c>
      <c r="D122" s="82">
        <v>0.70904299999999998</v>
      </c>
      <c r="E122" s="82">
        <v>0.85503700000000005</v>
      </c>
      <c r="F122" s="82">
        <v>0.96147499999999997</v>
      </c>
      <c r="G122" s="86">
        <v>3.9108700000000001</v>
      </c>
      <c r="H122" s="82">
        <v>6.3054100000000002</v>
      </c>
      <c r="I122" s="82">
        <v>8.8268249999999995</v>
      </c>
      <c r="J122" s="83">
        <v>0</v>
      </c>
    </row>
    <row r="123" spans="1:10" ht="14.55" customHeight="1" x14ac:dyDescent="0.3">
      <c r="A123" s="149" t="s">
        <v>165</v>
      </c>
      <c r="B123" s="82">
        <f t="shared" si="18"/>
        <v>24.12157474</v>
      </c>
      <c r="C123" s="82">
        <f t="shared" si="17"/>
        <v>22.436665999999999</v>
      </c>
      <c r="D123" s="82">
        <v>0.71693600000000002</v>
      </c>
      <c r="E123" s="82">
        <v>0.86829500000000004</v>
      </c>
      <c r="F123" s="82">
        <v>0.93413500000000005</v>
      </c>
      <c r="G123" s="86">
        <v>3.771595</v>
      </c>
      <c r="H123" s="82">
        <v>6.6854300000000002</v>
      </c>
      <c r="I123" s="82">
        <v>9.4602749999999993</v>
      </c>
      <c r="J123" s="83">
        <v>0</v>
      </c>
    </row>
    <row r="124" spans="1:10" ht="14.55" customHeight="1" x14ac:dyDescent="0.3">
      <c r="A124" s="149" t="s">
        <v>166</v>
      </c>
      <c r="B124" s="82">
        <f t="shared" si="18"/>
        <v>24.389448739999999</v>
      </c>
      <c r="C124" s="82">
        <f t="shared" si="17"/>
        <v>22.678040499999998</v>
      </c>
      <c r="D124" s="82">
        <v>0.72159649999999997</v>
      </c>
      <c r="E124" s="82">
        <v>0.88284399999999996</v>
      </c>
      <c r="F124" s="82">
        <v>0.97119999999999995</v>
      </c>
      <c r="G124" s="86">
        <v>3.5139749999999998</v>
      </c>
      <c r="H124" s="82">
        <v>6.1159499999999998</v>
      </c>
      <c r="I124" s="82">
        <v>9.8625749999999996</v>
      </c>
      <c r="J124" s="83">
        <v>0.6099</v>
      </c>
    </row>
    <row r="125" spans="1:10" ht="14.55" customHeight="1" x14ac:dyDescent="0.3">
      <c r="A125" s="149" t="s">
        <v>167</v>
      </c>
      <c r="B125" s="82">
        <f t="shared" si="18"/>
        <v>31.61862637309002</v>
      </c>
      <c r="C125" s="82">
        <f t="shared" si="17"/>
        <v>29.920353499999997</v>
      </c>
      <c r="D125" s="82">
        <v>0.76789549999999995</v>
      </c>
      <c r="E125" s="82">
        <v>0.95427300000000004</v>
      </c>
      <c r="F125" s="82">
        <v>1.06355</v>
      </c>
      <c r="G125" s="86">
        <v>4.3182349999999996</v>
      </c>
      <c r="H125" s="82">
        <v>8.4322999999999997</v>
      </c>
      <c r="I125" s="82">
        <v>13.5345</v>
      </c>
      <c r="J125" s="83">
        <v>0.84960000000000002</v>
      </c>
    </row>
    <row r="126" spans="1:10" ht="14.55" customHeight="1" x14ac:dyDescent="0.3">
      <c r="A126" s="149" t="s">
        <v>168</v>
      </c>
      <c r="B126" s="82">
        <f t="shared" si="18"/>
        <v>26.161989999999999</v>
      </c>
      <c r="C126" s="82">
        <f t="shared" si="17"/>
        <v>24.46199</v>
      </c>
      <c r="D126" s="82">
        <v>0.75853250000000005</v>
      </c>
      <c r="E126" s="82">
        <v>0.91906500000000002</v>
      </c>
      <c r="F126" s="82">
        <v>1.0413375</v>
      </c>
      <c r="G126" s="86">
        <v>3.4798450000000001</v>
      </c>
      <c r="H126" s="82">
        <v>6.0586099999999998</v>
      </c>
      <c r="I126" s="82">
        <v>10.965</v>
      </c>
      <c r="J126" s="83">
        <v>1.2396</v>
      </c>
    </row>
    <row r="127" spans="1:10" ht="14.55" customHeight="1" x14ac:dyDescent="0.3">
      <c r="A127" s="149" t="s">
        <v>169</v>
      </c>
      <c r="B127" s="82">
        <f t="shared" si="18"/>
        <v>28.15270022</v>
      </c>
      <c r="C127" s="82">
        <f t="shared" si="17"/>
        <v>26.429374500000002</v>
      </c>
      <c r="D127" s="82">
        <v>0.78418750000000004</v>
      </c>
      <c r="E127" s="82">
        <v>0.96285699999999996</v>
      </c>
      <c r="F127" s="82">
        <v>1.0436749999999999</v>
      </c>
      <c r="G127" s="86">
        <v>3.7984049999999998</v>
      </c>
      <c r="H127" s="82">
        <v>6.3055500000000002</v>
      </c>
      <c r="I127" s="82">
        <v>12.2377</v>
      </c>
      <c r="J127" s="83">
        <v>1.2969999999999999</v>
      </c>
    </row>
    <row r="128" spans="1:10" ht="14.55" customHeight="1" x14ac:dyDescent="0.3">
      <c r="A128" s="149" t="s">
        <v>170</v>
      </c>
      <c r="B128" s="82">
        <f t="shared" si="18"/>
        <v>29.83024906</v>
      </c>
      <c r="C128" s="82">
        <f t="shared" si="17"/>
        <v>28.108335</v>
      </c>
      <c r="D128" s="82">
        <v>0.78401299999999996</v>
      </c>
      <c r="E128" s="82">
        <v>0.93803199999999998</v>
      </c>
      <c r="F128" s="82">
        <v>1.04671</v>
      </c>
      <c r="G128" s="86">
        <v>4.1468850000000002</v>
      </c>
      <c r="H128" s="82">
        <v>6.9126700000000003</v>
      </c>
      <c r="I128" s="82">
        <v>12.833325</v>
      </c>
      <c r="J128" s="83">
        <v>1.4467000000000001</v>
      </c>
    </row>
    <row r="129" spans="1:10" ht="14.55" customHeight="1" x14ac:dyDescent="0.3">
      <c r="A129" s="149" t="s">
        <v>171</v>
      </c>
      <c r="B129" s="82">
        <f t="shared" si="18"/>
        <v>33.950219110000006</v>
      </c>
      <c r="C129" s="82">
        <f t="shared" si="17"/>
        <v>32.200000000000003</v>
      </c>
      <c r="D129" s="82">
        <v>0.8</v>
      </c>
      <c r="E129" s="82">
        <v>1</v>
      </c>
      <c r="F129" s="82">
        <v>1.2</v>
      </c>
      <c r="G129" s="86">
        <v>4.7</v>
      </c>
      <c r="H129" s="82">
        <v>7.9</v>
      </c>
      <c r="I129" s="82">
        <v>14.9</v>
      </c>
      <c r="J129" s="83">
        <v>1.7</v>
      </c>
    </row>
    <row r="130" spans="1:10" ht="14.55" customHeight="1" x14ac:dyDescent="0.3">
      <c r="A130" s="149" t="s">
        <v>172</v>
      </c>
      <c r="B130" s="82">
        <f t="shared" si="18"/>
        <v>27.5857925</v>
      </c>
      <c r="C130" s="82">
        <f t="shared" ref="C130:C162" si="19">SUM(D130:J130)</f>
        <v>25.885792500000001</v>
      </c>
      <c r="D130" s="82">
        <v>0.79187149999999995</v>
      </c>
      <c r="E130" s="82">
        <v>0.99804099999999996</v>
      </c>
      <c r="F130" s="82">
        <v>1.1254299999999999</v>
      </c>
      <c r="G130" s="86">
        <v>3.52759</v>
      </c>
      <c r="H130" s="82">
        <v>5.6578600000000003</v>
      </c>
      <c r="I130" s="82">
        <v>11.2837</v>
      </c>
      <c r="J130" s="83">
        <v>2.5013000000000001</v>
      </c>
    </row>
    <row r="131" spans="1:10" ht="14.55" customHeight="1" x14ac:dyDescent="0.3">
      <c r="A131" s="150" t="s">
        <v>173</v>
      </c>
      <c r="B131" s="82">
        <f t="shared" si="18"/>
        <v>32.924678999999998</v>
      </c>
      <c r="C131" s="82">
        <f t="shared" si="19"/>
        <v>31.160041999999997</v>
      </c>
      <c r="D131" s="82">
        <v>0.81762000000000001</v>
      </c>
      <c r="E131" s="82">
        <v>1.0315350000000001</v>
      </c>
      <c r="F131" s="82">
        <v>1.211212</v>
      </c>
      <c r="G131" s="86">
        <v>3.9268399999999999</v>
      </c>
      <c r="H131" s="82">
        <v>8.0506100000000007</v>
      </c>
      <c r="I131" s="82">
        <v>13.522525</v>
      </c>
      <c r="J131" s="83">
        <v>2.5996999999999999</v>
      </c>
    </row>
    <row r="132" spans="1:10" ht="14.55" customHeight="1" x14ac:dyDescent="0.3">
      <c r="A132" s="150" t="s">
        <v>174</v>
      </c>
      <c r="B132" s="82">
        <f t="shared" si="18"/>
        <v>31.255881000000002</v>
      </c>
      <c r="C132" s="82">
        <f t="shared" si="19"/>
        <v>29.483259</v>
      </c>
      <c r="D132" s="82">
        <v>0.81870500000000002</v>
      </c>
      <c r="E132" s="82">
        <v>1.0362469999999999</v>
      </c>
      <c r="F132" s="82">
        <v>1.192107</v>
      </c>
      <c r="G132" s="86">
        <v>3.63659</v>
      </c>
      <c r="H132" s="82">
        <v>6.8985599999999998</v>
      </c>
      <c r="I132" s="82">
        <v>13.86605</v>
      </c>
      <c r="J132" s="83">
        <v>2.0350000000000001</v>
      </c>
    </row>
    <row r="133" spans="1:10" ht="14.55" customHeight="1" x14ac:dyDescent="0.3">
      <c r="A133" s="150" t="s">
        <v>175</v>
      </c>
      <c r="B133" s="82">
        <f t="shared" si="18"/>
        <v>35.759682029999993</v>
      </c>
      <c r="C133" s="82">
        <f t="shared" si="19"/>
        <v>33.953618999999996</v>
      </c>
      <c r="D133" s="82">
        <v>0.85146599999999995</v>
      </c>
      <c r="E133" s="82">
        <v>1.1065229999999999</v>
      </c>
      <c r="F133" s="82">
        <v>1.2707999999999999</v>
      </c>
      <c r="G133" s="86">
        <v>3.8280699999999999</v>
      </c>
      <c r="H133" s="82">
        <v>7.6289100000000003</v>
      </c>
      <c r="I133" s="82">
        <v>16.810949999999998</v>
      </c>
      <c r="J133" s="83">
        <v>2.4569000000000001</v>
      </c>
    </row>
    <row r="134" spans="1:10" ht="14.55" customHeight="1" x14ac:dyDescent="0.3">
      <c r="A134" s="150" t="s">
        <v>176</v>
      </c>
      <c r="B134" s="82">
        <f t="shared" si="18"/>
        <v>30.960721899999999</v>
      </c>
      <c r="C134" s="82">
        <f t="shared" si="19"/>
        <v>29.142749500000001</v>
      </c>
      <c r="D134" s="82">
        <v>0.84676949999999995</v>
      </c>
      <c r="E134" s="82">
        <v>1.094795</v>
      </c>
      <c r="F134" s="82">
        <v>1.228745</v>
      </c>
      <c r="G134" s="86">
        <v>3.2116699999999998</v>
      </c>
      <c r="H134" s="82">
        <v>5.8208700000000002</v>
      </c>
      <c r="I134" s="82">
        <v>14.5238</v>
      </c>
      <c r="J134" s="83">
        <v>2.4161000000000001</v>
      </c>
    </row>
    <row r="135" spans="1:10" ht="14.55" customHeight="1" x14ac:dyDescent="0.3">
      <c r="A135" s="150" t="s">
        <v>177</v>
      </c>
      <c r="B135" s="82">
        <f t="shared" si="18"/>
        <v>34.516118900000002</v>
      </c>
      <c r="C135" s="82">
        <f t="shared" si="19"/>
        <v>32.6981465</v>
      </c>
      <c r="D135" s="82">
        <v>0.84531149999999999</v>
      </c>
      <c r="E135" s="82">
        <v>1.105145</v>
      </c>
      <c r="F135" s="82">
        <v>1.248305</v>
      </c>
      <c r="G135" s="86">
        <v>3.5064199999999999</v>
      </c>
      <c r="H135" s="82">
        <v>6.9959899999999999</v>
      </c>
      <c r="I135" s="82">
        <v>16.680475000000001</v>
      </c>
      <c r="J135" s="83">
        <v>2.3165</v>
      </c>
    </row>
    <row r="136" spans="1:10" ht="14.55" customHeight="1" x14ac:dyDescent="0.3">
      <c r="A136" s="150" t="s">
        <v>178</v>
      </c>
      <c r="B136" s="82">
        <f t="shared" si="18"/>
        <v>32.157161600000002</v>
      </c>
      <c r="C136" s="82">
        <f t="shared" si="19"/>
        <v>30.305024</v>
      </c>
      <c r="D136" s="82">
        <v>0.85402699999999998</v>
      </c>
      <c r="E136" s="82">
        <v>1.1177569999999999</v>
      </c>
      <c r="F136" s="82">
        <v>1.212755</v>
      </c>
      <c r="G136" s="86">
        <v>3.4692099999999999</v>
      </c>
      <c r="H136" s="82">
        <v>5.9823500000000003</v>
      </c>
      <c r="I136" s="82">
        <v>15.451824999999999</v>
      </c>
      <c r="J136" s="83">
        <v>2.2170999999999998</v>
      </c>
    </row>
    <row r="137" spans="1:10" ht="14.55" customHeight="1" x14ac:dyDescent="0.3">
      <c r="A137" s="150" t="s">
        <v>179</v>
      </c>
      <c r="B137" s="82">
        <f t="shared" si="18"/>
        <v>39.736449059999998</v>
      </c>
      <c r="C137" s="82">
        <f t="shared" si="19"/>
        <v>37.844034999999998</v>
      </c>
      <c r="D137" s="82">
        <v>0.91593999999999998</v>
      </c>
      <c r="E137" s="82">
        <v>1.15018</v>
      </c>
      <c r="F137" s="82">
        <v>1.3388500000000001</v>
      </c>
      <c r="G137" s="86">
        <v>4.0655250000000001</v>
      </c>
      <c r="H137" s="82">
        <v>8.0261899999999997</v>
      </c>
      <c r="I137" s="82">
        <v>20.330400000000001</v>
      </c>
      <c r="J137" s="83">
        <v>2.01695</v>
      </c>
    </row>
    <row r="138" spans="1:10" ht="14.55" customHeight="1" x14ac:dyDescent="0.3">
      <c r="A138" s="150" t="s">
        <v>180</v>
      </c>
      <c r="B138" s="82">
        <f t="shared" si="18"/>
        <v>34.046104059999998</v>
      </c>
      <c r="C138" s="82">
        <f t="shared" si="19"/>
        <v>32.147174999999997</v>
      </c>
      <c r="D138" s="82">
        <v>0.88014000000000003</v>
      </c>
      <c r="E138" s="82">
        <v>1.0855699999999999</v>
      </c>
      <c r="F138" s="82">
        <v>1.2221150000000001</v>
      </c>
      <c r="G138" s="86">
        <v>3.5517599999999998</v>
      </c>
      <c r="H138" s="82">
        <v>6.0493399999999999</v>
      </c>
      <c r="I138" s="82">
        <v>17.241299999999999</v>
      </c>
      <c r="J138" s="83">
        <v>2.1169500000000001</v>
      </c>
    </row>
    <row r="139" spans="1:10" ht="14.55" customHeight="1" x14ac:dyDescent="0.3">
      <c r="A139" s="150" t="s">
        <v>181</v>
      </c>
      <c r="B139" s="82">
        <f t="shared" si="18"/>
        <v>38.480982060000002</v>
      </c>
      <c r="C139" s="82">
        <f t="shared" si="19"/>
        <v>36.572451000000001</v>
      </c>
      <c r="D139" s="82">
        <v>0.89794799999999997</v>
      </c>
      <c r="E139" s="82">
        <v>1.0818680000000001</v>
      </c>
      <c r="F139" s="82">
        <v>1.2318800000000001</v>
      </c>
      <c r="G139" s="86">
        <v>3.9110749999999999</v>
      </c>
      <c r="H139" s="82">
        <v>6.9152800000000001</v>
      </c>
      <c r="I139" s="82">
        <v>20.217749999999999</v>
      </c>
      <c r="J139" s="83">
        <v>2.3166500000000001</v>
      </c>
    </row>
    <row r="140" spans="1:10" ht="14.55" customHeight="1" x14ac:dyDescent="0.3">
      <c r="A140" s="150" t="s">
        <v>182</v>
      </c>
      <c r="B140" s="82">
        <f t="shared" si="18"/>
        <v>38.2499696</v>
      </c>
      <c r="C140" s="82">
        <f t="shared" si="19"/>
        <v>36.313397999999999</v>
      </c>
      <c r="D140" s="82">
        <v>0.89347549999999998</v>
      </c>
      <c r="E140" s="82">
        <v>1.0928450000000001</v>
      </c>
      <c r="F140" s="82">
        <v>1.2710925</v>
      </c>
      <c r="G140" s="86">
        <v>3.6517849999999998</v>
      </c>
      <c r="H140" s="82">
        <v>6.6114499999999996</v>
      </c>
      <c r="I140" s="82">
        <v>20.275700000000001</v>
      </c>
      <c r="J140" s="83">
        <v>2.5170499999999998</v>
      </c>
    </row>
    <row r="141" spans="1:10" ht="14.55" customHeight="1" x14ac:dyDescent="0.3">
      <c r="A141" s="150" t="s">
        <v>183</v>
      </c>
      <c r="B141" s="82">
        <f t="shared" si="18"/>
        <v>44.906019099999995</v>
      </c>
      <c r="C141" s="82">
        <f t="shared" si="19"/>
        <v>42.940337499999998</v>
      </c>
      <c r="D141" s="82">
        <v>0.94990949999999996</v>
      </c>
      <c r="E141" s="82">
        <v>1.172118</v>
      </c>
      <c r="F141" s="82">
        <v>1.3359749999999999</v>
      </c>
      <c r="G141" s="86">
        <v>4.104425</v>
      </c>
      <c r="H141" s="82">
        <v>7.6640100000000002</v>
      </c>
      <c r="I141" s="82">
        <v>24.998349999999999</v>
      </c>
      <c r="J141" s="83">
        <v>2.7155499999999999</v>
      </c>
    </row>
    <row r="142" spans="1:10" ht="14.55" customHeight="1" x14ac:dyDescent="0.3">
      <c r="A142" s="150" t="s">
        <v>184</v>
      </c>
      <c r="B142" s="82">
        <f t="shared" si="18"/>
        <v>34.755531400000002</v>
      </c>
      <c r="C142" s="82">
        <f t="shared" si="19"/>
        <v>32.7930785</v>
      </c>
      <c r="D142" s="82">
        <v>0.9190045</v>
      </c>
      <c r="E142" s="82">
        <v>1.0985039999999999</v>
      </c>
      <c r="F142" s="82">
        <v>1.1920999999999999</v>
      </c>
      <c r="G142" s="86">
        <v>3.1195650000000001</v>
      </c>
      <c r="H142" s="82">
        <v>5.8350299999999997</v>
      </c>
      <c r="I142" s="82">
        <v>18.214625000000002</v>
      </c>
      <c r="J142" s="83">
        <v>2.41425</v>
      </c>
    </row>
    <row r="143" spans="1:10" ht="14.55" customHeight="1" x14ac:dyDescent="0.3">
      <c r="A143" s="150" t="s">
        <v>185</v>
      </c>
      <c r="B143" s="82">
        <f t="shared" ref="B143:B174" si="20">C143+C314</f>
        <v>38.540417700000006</v>
      </c>
      <c r="C143" s="82">
        <f t="shared" si="19"/>
        <v>36.568408500000004</v>
      </c>
      <c r="D143" s="82">
        <v>0.92810150000000002</v>
      </c>
      <c r="E143" s="82">
        <v>1.1327320000000001</v>
      </c>
      <c r="F143" s="82">
        <v>1.2575000000000001</v>
      </c>
      <c r="G143" s="86">
        <v>3.564505</v>
      </c>
      <c r="H143" s="82">
        <v>6.5402199999999997</v>
      </c>
      <c r="I143" s="82">
        <v>20.833300000000001</v>
      </c>
      <c r="J143" s="83">
        <v>2.3120500000000002</v>
      </c>
    </row>
    <row r="144" spans="1:10" ht="14.55" customHeight="1" x14ac:dyDescent="0.3">
      <c r="A144" s="150" t="s">
        <v>186</v>
      </c>
      <c r="B144" s="82">
        <f t="shared" si="20"/>
        <v>40.51875029</v>
      </c>
      <c r="C144" s="82">
        <f t="shared" si="19"/>
        <v>38.519368</v>
      </c>
      <c r="D144" s="82">
        <v>0.93165249999999999</v>
      </c>
      <c r="E144" s="82">
        <v>1.132323</v>
      </c>
      <c r="F144" s="82">
        <v>1.2730524999999999</v>
      </c>
      <c r="G144" s="86">
        <v>3.9295100000000001</v>
      </c>
      <c r="H144" s="82">
        <v>6.8932799999999999</v>
      </c>
      <c r="I144" s="82">
        <v>21.951149999999998</v>
      </c>
      <c r="J144" s="83">
        <v>2.4083999999999999</v>
      </c>
    </row>
    <row r="145" spans="1:10" ht="14.55" customHeight="1" x14ac:dyDescent="0.3">
      <c r="A145" s="150" t="s">
        <v>187</v>
      </c>
      <c r="B145" s="82">
        <f t="shared" si="20"/>
        <v>47.963918900000003</v>
      </c>
      <c r="C145" s="82">
        <f t="shared" si="19"/>
        <v>45.927268500000004</v>
      </c>
      <c r="D145" s="82">
        <v>0.98277300000000001</v>
      </c>
      <c r="E145" s="82">
        <v>1.2428729999999999</v>
      </c>
      <c r="F145" s="82">
        <v>1.4401325</v>
      </c>
      <c r="G145" s="86">
        <v>4.3294300000000003</v>
      </c>
      <c r="H145" s="82">
        <v>8.0838099999999997</v>
      </c>
      <c r="I145" s="82">
        <v>27.340450000000001</v>
      </c>
      <c r="J145" s="83">
        <v>2.5078</v>
      </c>
    </row>
    <row r="146" spans="1:10" ht="14.55" customHeight="1" x14ac:dyDescent="0.3">
      <c r="A146" s="150" t="s">
        <v>138</v>
      </c>
      <c r="B146" s="82">
        <f t="shared" si="20"/>
        <v>42.02833948</v>
      </c>
      <c r="C146" s="82">
        <f t="shared" si="19"/>
        <v>39.991696500000003</v>
      </c>
      <c r="D146" s="82">
        <v>0.97880199999999995</v>
      </c>
      <c r="E146" s="82">
        <v>1.245317</v>
      </c>
      <c r="F146" s="82">
        <v>1.4061025</v>
      </c>
      <c r="G146" s="86">
        <v>3.667055</v>
      </c>
      <c r="H146" s="82">
        <v>6.3725199999999997</v>
      </c>
      <c r="I146" s="82">
        <v>23.914400000000001</v>
      </c>
      <c r="J146" s="83">
        <v>2.4075000000000002</v>
      </c>
    </row>
    <row r="147" spans="1:10" ht="14.55" customHeight="1" x14ac:dyDescent="0.3">
      <c r="A147" s="150" t="s">
        <v>137</v>
      </c>
      <c r="B147" s="82">
        <f t="shared" si="20"/>
        <v>48.931804589999999</v>
      </c>
      <c r="C147" s="82">
        <f t="shared" si="19"/>
        <v>46.8764945</v>
      </c>
      <c r="D147" s="82">
        <v>1.025771</v>
      </c>
      <c r="E147" s="82">
        <v>1.299026</v>
      </c>
      <c r="F147" s="82">
        <v>1.5234574999999999</v>
      </c>
      <c r="G147" s="86">
        <v>4.147875</v>
      </c>
      <c r="H147" s="82">
        <v>7.8143399999999996</v>
      </c>
      <c r="I147" s="82">
        <v>28.558724999999999</v>
      </c>
      <c r="J147" s="83">
        <v>2.5072999999999999</v>
      </c>
    </row>
    <row r="148" spans="1:10" ht="14.55" customHeight="1" x14ac:dyDescent="0.3">
      <c r="A148" s="150" t="s">
        <v>136</v>
      </c>
      <c r="B148" s="82">
        <f t="shared" si="20"/>
        <v>45.958626119999998</v>
      </c>
      <c r="C148" s="82">
        <f t="shared" si="19"/>
        <v>43.866471499999996</v>
      </c>
      <c r="D148" s="82">
        <v>1.0055019999999999</v>
      </c>
      <c r="E148" s="82">
        <v>1.2774719999999999</v>
      </c>
      <c r="F148" s="82">
        <v>1.5320825</v>
      </c>
      <c r="G148" s="86">
        <v>3.7893849999999998</v>
      </c>
      <c r="H148" s="82">
        <v>6.7906300000000002</v>
      </c>
      <c r="I148" s="82">
        <v>26.864899999999999</v>
      </c>
      <c r="J148" s="83">
        <v>2.6065</v>
      </c>
    </row>
    <row r="149" spans="1:10" ht="14.55" customHeight="1" x14ac:dyDescent="0.3">
      <c r="A149" s="150" t="s">
        <v>139</v>
      </c>
      <c r="B149" s="82">
        <f t="shared" si="20"/>
        <v>56.59581176999999</v>
      </c>
      <c r="C149" s="82">
        <f t="shared" si="19"/>
        <v>54.470284499999991</v>
      </c>
      <c r="D149" s="82">
        <v>1.101496</v>
      </c>
      <c r="E149" s="82">
        <v>1.3975960000000001</v>
      </c>
      <c r="F149" s="82">
        <v>1.6885425000000001</v>
      </c>
      <c r="G149" s="86">
        <v>4.4783949999999999</v>
      </c>
      <c r="H149" s="82">
        <v>9.3136299999999999</v>
      </c>
      <c r="I149" s="82">
        <v>32.984724999999997</v>
      </c>
      <c r="J149" s="83">
        <v>3.5059</v>
      </c>
    </row>
    <row r="150" spans="1:10" ht="14.55" customHeight="1" x14ac:dyDescent="0.3">
      <c r="A150" s="150" t="s">
        <v>135</v>
      </c>
      <c r="B150" s="82">
        <f t="shared" si="20"/>
        <v>49.421571350000001</v>
      </c>
      <c r="C150" s="82">
        <f t="shared" si="19"/>
        <v>47.291239500000003</v>
      </c>
      <c r="D150" s="82">
        <v>1.0566610000000001</v>
      </c>
      <c r="E150" s="82">
        <v>1.314476</v>
      </c>
      <c r="F150" s="82">
        <v>1.6259925</v>
      </c>
      <c r="G150" s="86">
        <v>3.615615</v>
      </c>
      <c r="H150" s="82">
        <v>6.7404700000000002</v>
      </c>
      <c r="I150" s="82">
        <v>29.532525</v>
      </c>
      <c r="J150" s="83">
        <v>3.4055</v>
      </c>
    </row>
    <row r="151" spans="1:10" ht="14.55" customHeight="1" x14ac:dyDescent="0.3">
      <c r="A151" s="150" t="s">
        <v>132</v>
      </c>
      <c r="B151" s="82">
        <f t="shared" si="20"/>
        <v>55.96145886</v>
      </c>
      <c r="C151" s="82">
        <f t="shared" si="19"/>
        <v>53.8228905</v>
      </c>
      <c r="D151" s="82">
        <v>1.0953269999999999</v>
      </c>
      <c r="E151" s="82">
        <v>1.4025810000000001</v>
      </c>
      <c r="F151" s="82">
        <v>1.7313775</v>
      </c>
      <c r="G151" s="86">
        <v>4.50298</v>
      </c>
      <c r="H151" s="82">
        <v>8.1481999999999992</v>
      </c>
      <c r="I151" s="82">
        <v>33.137324999999997</v>
      </c>
      <c r="J151" s="83">
        <v>3.8050999999999999</v>
      </c>
    </row>
    <row r="152" spans="1:10" ht="14.55" customHeight="1" x14ac:dyDescent="0.3">
      <c r="A152" s="150" t="s">
        <v>133</v>
      </c>
      <c r="B152" s="82">
        <f t="shared" si="20"/>
        <v>55.450613030000007</v>
      </c>
      <c r="C152" s="82">
        <f t="shared" si="19"/>
        <v>53.164460000000005</v>
      </c>
      <c r="D152" s="82">
        <v>0.92575099999999999</v>
      </c>
      <c r="E152" s="82">
        <f>1.321333+0.164146</f>
        <v>1.485479</v>
      </c>
      <c r="F152" s="82">
        <f>1.513378+0.249725</f>
        <v>1.7631029999999999</v>
      </c>
      <c r="G152" s="86">
        <f>4.25993+1.26452</f>
        <v>5.5244499999999999</v>
      </c>
      <c r="H152" s="82">
        <f>5.168992+3.39326</f>
        <v>8.5622520000000009</v>
      </c>
      <c r="I152" s="82">
        <f>23.277925+7.2988</f>
        <v>30.576725</v>
      </c>
      <c r="J152" s="83">
        <f>3.6987+0.628</f>
        <v>4.3266999999999998</v>
      </c>
    </row>
    <row r="153" spans="1:10" ht="14.55" customHeight="1" x14ac:dyDescent="0.3">
      <c r="A153" s="150" t="s">
        <v>134</v>
      </c>
      <c r="B153" s="82">
        <f t="shared" si="20"/>
        <v>68.836534449999988</v>
      </c>
      <c r="C153" s="82">
        <f t="shared" si="19"/>
        <v>66.156090999999989</v>
      </c>
      <c r="D153" s="82">
        <v>0.79430100000000003</v>
      </c>
      <c r="E153" s="82">
        <f>1.348772+0.270346</f>
        <v>1.6191180000000001</v>
      </c>
      <c r="F153" s="82">
        <f>1.521743+0.339725</f>
        <v>1.8614680000000001</v>
      </c>
      <c r="G153" s="86">
        <f>3.16846+1.8152</f>
        <v>4.9836600000000004</v>
      </c>
      <c r="H153" s="82">
        <f>3.362384+6.55126</f>
        <v>9.9136439999999997</v>
      </c>
      <c r="I153" s="82">
        <f>27.94495+13.27435</f>
        <v>41.219299999999997</v>
      </c>
      <c r="J153" s="83">
        <f>4.7966+0.968</f>
        <v>5.7645999999999997</v>
      </c>
    </row>
    <row r="154" spans="1:10" ht="14.55" customHeight="1" x14ac:dyDescent="0.3">
      <c r="A154" s="150" t="s">
        <v>101</v>
      </c>
      <c r="B154" s="82">
        <f t="shared" si="20"/>
        <v>62.636931130000001</v>
      </c>
      <c r="C154" s="82">
        <f t="shared" si="19"/>
        <v>59.817695999999998</v>
      </c>
      <c r="D154" s="82">
        <v>0.78971400000000003</v>
      </c>
      <c r="E154" s="82">
        <f>1.288114+0.249556</f>
        <v>1.5376699999999999</v>
      </c>
      <c r="F154" s="82">
        <f>1.439805+0.34015</f>
        <v>1.779955</v>
      </c>
      <c r="G154" s="86">
        <f>2.71519+1.45032</f>
        <v>4.1655100000000003</v>
      </c>
      <c r="H154" s="82">
        <f>-0.58494+8.95956</f>
        <v>8.3746200000000002</v>
      </c>
      <c r="I154" s="82">
        <f>23.5077+13.735827</f>
        <v>37.243527</v>
      </c>
      <c r="J154" s="83">
        <f>4.7653+1.1614</f>
        <v>5.9267000000000003</v>
      </c>
    </row>
    <row r="155" spans="1:10" ht="14.55" customHeight="1" x14ac:dyDescent="0.3">
      <c r="A155" s="150" t="s">
        <v>102</v>
      </c>
      <c r="B155" s="82">
        <f t="shared" si="20"/>
        <v>67.267013560000009</v>
      </c>
      <c r="C155" s="82">
        <f t="shared" si="19"/>
        <v>64.297088000000002</v>
      </c>
      <c r="D155" s="82">
        <v>0.78881000000000001</v>
      </c>
      <c r="E155" s="82">
        <f>1.32949+0.293748</f>
        <v>1.6232380000000002</v>
      </c>
      <c r="F155" s="82">
        <f>1.566325+0.343465</f>
        <v>1.9097900000000001</v>
      </c>
      <c r="G155" s="86">
        <f>2.29048+1.94529</f>
        <v>4.2357700000000005</v>
      </c>
      <c r="H155" s="82">
        <f>3.4626+5.12238</f>
        <v>8.5849799999999998</v>
      </c>
      <c r="I155" s="82">
        <f>26.0579+15.229</f>
        <v>41.286900000000003</v>
      </c>
      <c r="J155" s="83">
        <f>4.7635+1.1041</f>
        <v>5.8675999999999995</v>
      </c>
    </row>
    <row r="156" spans="1:10" ht="14.55" customHeight="1" x14ac:dyDescent="0.3">
      <c r="A156" s="150" t="s">
        <v>103</v>
      </c>
      <c r="B156" s="82">
        <f t="shared" si="20"/>
        <v>60.248425330000003</v>
      </c>
      <c r="C156" s="82">
        <f t="shared" si="19"/>
        <v>57.126145500000007</v>
      </c>
      <c r="D156" s="82">
        <v>0.78835299999999997</v>
      </c>
      <c r="E156" s="82">
        <v>1.618282</v>
      </c>
      <c r="F156" s="82">
        <v>1.7709325</v>
      </c>
      <c r="G156" s="86">
        <v>4.1053899999999999</v>
      </c>
      <c r="H156" s="82">
        <v>8.0211380000000005</v>
      </c>
      <c r="I156" s="82">
        <v>34.342350000000003</v>
      </c>
      <c r="J156" s="83">
        <v>6.4797000000000002</v>
      </c>
    </row>
    <row r="157" spans="1:10" ht="14.55" customHeight="1" x14ac:dyDescent="0.3">
      <c r="A157" s="150" t="s">
        <v>104</v>
      </c>
      <c r="B157" s="82">
        <f t="shared" si="20"/>
        <v>79.54152735000001</v>
      </c>
      <c r="C157" s="82">
        <f t="shared" si="19"/>
        <v>76.321014500000004</v>
      </c>
      <c r="D157" s="82">
        <v>0.78480099999999997</v>
      </c>
      <c r="E157" s="82">
        <v>1.782926</v>
      </c>
      <c r="F157" s="82">
        <v>1.9835125</v>
      </c>
      <c r="G157" s="86">
        <v>4.65998</v>
      </c>
      <c r="H157" s="82">
        <v>8.4896700000000003</v>
      </c>
      <c r="I157" s="82">
        <v>48.042225000000002</v>
      </c>
      <c r="J157" s="83">
        <v>10.5779</v>
      </c>
    </row>
    <row r="158" spans="1:10" x14ac:dyDescent="0.3">
      <c r="A158" s="150" t="s">
        <v>105</v>
      </c>
      <c r="B158" s="82">
        <f t="shared" si="20"/>
        <v>64.750647409999999</v>
      </c>
      <c r="C158" s="82">
        <f t="shared" si="19"/>
        <v>61.4697265</v>
      </c>
      <c r="D158" s="82">
        <v>0.78441700000000003</v>
      </c>
      <c r="E158" s="82">
        <v>1.6285320000000001</v>
      </c>
      <c r="F158" s="82">
        <v>1.7905225</v>
      </c>
      <c r="G158" s="86">
        <v>3.7948599999999999</v>
      </c>
      <c r="H158" s="82">
        <v>6.4809700000000001</v>
      </c>
      <c r="I158" s="82">
        <v>34.902025000000002</v>
      </c>
      <c r="J158" s="83">
        <v>12.0884</v>
      </c>
    </row>
    <row r="159" spans="1:10" x14ac:dyDescent="0.3">
      <c r="A159" s="150" t="s">
        <v>106</v>
      </c>
      <c r="B159" s="82">
        <f t="shared" si="20"/>
        <v>75.218624500000004</v>
      </c>
      <c r="C159" s="82">
        <f t="shared" si="19"/>
        <v>71.852268500000008</v>
      </c>
      <c r="D159" s="82">
        <v>0.78425199999999995</v>
      </c>
      <c r="E159" s="82">
        <v>1.7329840000000001</v>
      </c>
      <c r="F159" s="82">
        <v>1.9923975</v>
      </c>
      <c r="G159" s="86">
        <v>4.4642900000000001</v>
      </c>
      <c r="H159" s="82">
        <v>8.85717</v>
      </c>
      <c r="I159" s="82">
        <v>40.968775000000001</v>
      </c>
      <c r="J159" s="83">
        <v>13.0524</v>
      </c>
    </row>
    <row r="160" spans="1:10" x14ac:dyDescent="0.3">
      <c r="A160" s="150" t="s">
        <v>107</v>
      </c>
      <c r="B160" s="82">
        <f t="shared" si="20"/>
        <v>74.14811727</v>
      </c>
      <c r="C160" s="82">
        <f t="shared" si="19"/>
        <v>70.708455000000001</v>
      </c>
      <c r="D160" s="82">
        <v>0.78390899999999997</v>
      </c>
      <c r="E160" s="82">
        <v>1.7199960000000001</v>
      </c>
      <c r="F160" s="82">
        <v>1.9643349999999999</v>
      </c>
      <c r="G160" s="86">
        <v>4.5688899999999997</v>
      </c>
      <c r="H160" s="82">
        <v>8.2729499999999998</v>
      </c>
      <c r="I160" s="82">
        <v>38.839575000000004</v>
      </c>
      <c r="J160" s="83">
        <v>14.5588</v>
      </c>
    </row>
    <row r="161" spans="1:10" x14ac:dyDescent="0.3">
      <c r="A161" s="150" t="s">
        <v>108</v>
      </c>
      <c r="B161" s="82">
        <f t="shared" si="20"/>
        <v>84.198242129999997</v>
      </c>
      <c r="C161" s="82">
        <f t="shared" si="19"/>
        <v>80.61918</v>
      </c>
      <c r="D161" s="82">
        <v>0.78307099999999996</v>
      </c>
      <c r="E161" s="82">
        <v>1.769984</v>
      </c>
      <c r="F161" s="82">
        <v>2.0364200000000001</v>
      </c>
      <c r="G161" s="86">
        <v>4.6907800000000002</v>
      </c>
      <c r="H161" s="82">
        <v>8.3835499999999996</v>
      </c>
      <c r="I161" s="82">
        <v>41.047975000000001</v>
      </c>
      <c r="J161" s="83">
        <v>21.907399999999999</v>
      </c>
    </row>
    <row r="162" spans="1:10" x14ac:dyDescent="0.3">
      <c r="A162" s="150" t="s">
        <v>109</v>
      </c>
      <c r="B162" s="82">
        <f t="shared" si="20"/>
        <v>83.74834448</v>
      </c>
      <c r="C162" s="82">
        <f t="shared" si="19"/>
        <v>80.060508999999996</v>
      </c>
      <c r="D162" s="82">
        <v>0.783026</v>
      </c>
      <c r="E162" s="82">
        <v>1.809728</v>
      </c>
      <c r="F162" s="82">
        <v>2.0774699999999999</v>
      </c>
      <c r="G162" s="86">
        <v>4.4885599999999997</v>
      </c>
      <c r="H162" s="82">
        <v>7.8311500000000001</v>
      </c>
      <c r="I162" s="82">
        <v>40.387574999999998</v>
      </c>
      <c r="J162" s="83">
        <v>22.683</v>
      </c>
    </row>
    <row r="163" spans="1:10" x14ac:dyDescent="0.3">
      <c r="A163" s="150" t="s">
        <v>110</v>
      </c>
      <c r="B163" s="82">
        <f t="shared" si="20"/>
        <v>86.969700740000007</v>
      </c>
      <c r="C163" s="82">
        <f t="shared" ref="C163" si="21">SUM(D163:J163)</f>
        <v>83.212153000000001</v>
      </c>
      <c r="D163" s="82">
        <v>0.78287099999999998</v>
      </c>
      <c r="E163" s="82">
        <v>1.873462</v>
      </c>
      <c r="F163" s="82">
        <v>2.2337750000000001</v>
      </c>
      <c r="G163" s="86">
        <v>4.4011100000000001</v>
      </c>
      <c r="H163" s="82">
        <v>8.1411099999999994</v>
      </c>
      <c r="I163" s="82">
        <v>41.708725000000001</v>
      </c>
      <c r="J163" s="83">
        <v>24.071100000000001</v>
      </c>
    </row>
    <row r="164" spans="1:10" x14ac:dyDescent="0.3">
      <c r="A164" s="150" t="s">
        <v>111</v>
      </c>
      <c r="B164" s="82">
        <f t="shared" si="20"/>
        <v>80.547633469999994</v>
      </c>
      <c r="C164" s="82">
        <f>SUM(D164:J164)</f>
        <v>76.697789999999998</v>
      </c>
      <c r="D164" s="82">
        <v>0.782775</v>
      </c>
      <c r="E164" s="82">
        <v>1.79314</v>
      </c>
      <c r="F164" s="82">
        <v>2.1655099999999998</v>
      </c>
      <c r="G164" s="86">
        <v>4.0970700000000004</v>
      </c>
      <c r="H164" s="82">
        <v>7.57097</v>
      </c>
      <c r="I164" s="82">
        <v>35.794125000000001</v>
      </c>
      <c r="J164" s="83">
        <v>24.494199999999999</v>
      </c>
    </row>
    <row r="165" spans="1:10" x14ac:dyDescent="0.3">
      <c r="A165" s="150" t="s">
        <v>112</v>
      </c>
      <c r="B165" s="82">
        <f t="shared" si="20"/>
        <v>92.979010340000002</v>
      </c>
      <c r="C165" s="82">
        <f>SUM(D165:J165)</f>
        <v>89.024726000000001</v>
      </c>
      <c r="D165" s="82">
        <v>0.78265799999999996</v>
      </c>
      <c r="E165" s="82">
        <v>1.916018</v>
      </c>
      <c r="F165" s="82">
        <v>2.4709949999999998</v>
      </c>
      <c r="G165" s="86">
        <v>4.5341800000000001</v>
      </c>
      <c r="H165" s="82">
        <v>8.4904499999999992</v>
      </c>
      <c r="I165" s="82">
        <v>42.083125000000003</v>
      </c>
      <c r="J165" s="83">
        <v>28.747299999999999</v>
      </c>
    </row>
    <row r="166" spans="1:10" x14ac:dyDescent="0.3">
      <c r="A166" s="149" t="s">
        <v>113</v>
      </c>
      <c r="B166" s="82">
        <f t="shared" si="20"/>
        <v>77.155522639999987</v>
      </c>
      <c r="C166" s="82">
        <f t="shared" ref="C166:C169" si="22">SUM(D166:J166)</f>
        <v>73.134964999999994</v>
      </c>
      <c r="D166" s="82">
        <v>0.78256999999999999</v>
      </c>
      <c r="E166" s="82">
        <v>1.8227100000000001</v>
      </c>
      <c r="F166" s="82">
        <v>2.17774</v>
      </c>
      <c r="G166" s="86">
        <v>3.9378799999999998</v>
      </c>
      <c r="H166" s="82">
        <v>7.0343900000000001</v>
      </c>
      <c r="I166" s="82">
        <v>30.939575000000001</v>
      </c>
      <c r="J166" s="83">
        <v>26.440100000000001</v>
      </c>
    </row>
    <row r="167" spans="1:10" x14ac:dyDescent="0.3">
      <c r="A167" s="149" t="s">
        <v>114</v>
      </c>
      <c r="B167" s="82">
        <f t="shared" si="20"/>
        <v>90.678349470000001</v>
      </c>
      <c r="C167" s="82">
        <f t="shared" si="22"/>
        <v>86.565966000000003</v>
      </c>
      <c r="D167" s="82">
        <v>0.78242999999999996</v>
      </c>
      <c r="E167" s="82">
        <v>1.945816</v>
      </c>
      <c r="F167" s="82">
        <v>2.3989449999999999</v>
      </c>
      <c r="G167" s="86">
        <v>4.4676999999999998</v>
      </c>
      <c r="H167" s="82">
        <v>8.1532499999999999</v>
      </c>
      <c r="I167" s="82">
        <v>40.597425000000001</v>
      </c>
      <c r="J167" s="83">
        <v>28.220400000000001</v>
      </c>
    </row>
    <row r="168" spans="1:10" x14ac:dyDescent="0.3">
      <c r="A168" s="149" t="s">
        <v>115</v>
      </c>
      <c r="B168" s="82">
        <f t="shared" si="20"/>
        <v>83.836776119999996</v>
      </c>
      <c r="C168" s="82">
        <f t="shared" si="22"/>
        <v>79.561460999999994</v>
      </c>
      <c r="D168" s="82">
        <v>0.78239499999999995</v>
      </c>
      <c r="E168" s="82">
        <v>2.0192260000000002</v>
      </c>
      <c r="F168" s="82">
        <v>2.6914950000000002</v>
      </c>
      <c r="G168" s="86">
        <v>4.3893800000000001</v>
      </c>
      <c r="H168" s="82">
        <v>8.0118899999999993</v>
      </c>
      <c r="I168" s="82">
        <v>33.092574999999997</v>
      </c>
      <c r="J168" s="83">
        <v>28.5745</v>
      </c>
    </row>
    <row r="169" spans="1:10" x14ac:dyDescent="0.3">
      <c r="A169" s="149" t="s">
        <v>116</v>
      </c>
      <c r="B169" s="82">
        <f t="shared" si="20"/>
        <v>90.621930469999995</v>
      </c>
      <c r="C169" s="82">
        <f t="shared" si="22"/>
        <v>86.281229999999994</v>
      </c>
      <c r="D169" s="82">
        <v>0.78225100000000003</v>
      </c>
      <c r="E169" s="82">
        <v>1.941624</v>
      </c>
      <c r="F169" s="82">
        <v>2.35704</v>
      </c>
      <c r="G169" s="86">
        <v>4.75671</v>
      </c>
      <c r="H169" s="82">
        <v>7.5738300000000001</v>
      </c>
      <c r="I169" s="82">
        <v>29.785975000000001</v>
      </c>
      <c r="J169" s="83">
        <v>39.083799999999997</v>
      </c>
    </row>
    <row r="170" spans="1:10" x14ac:dyDescent="0.3">
      <c r="A170" s="149" t="s">
        <v>117</v>
      </c>
      <c r="B170" s="82">
        <f t="shared" si="20"/>
        <v>84.002776339999997</v>
      </c>
      <c r="C170" s="82">
        <f t="shared" ref="C170:C173" si="23">SUM(D170:J170)</f>
        <v>79.633657999999997</v>
      </c>
      <c r="D170" s="82">
        <v>0.78219700000000003</v>
      </c>
      <c r="E170" s="82">
        <v>1.8705160000000001</v>
      </c>
      <c r="F170" s="82">
        <v>2.35975</v>
      </c>
      <c r="G170" s="86">
        <v>4.3092600000000001</v>
      </c>
      <c r="H170" s="82">
        <v>7.2632099999999999</v>
      </c>
      <c r="I170" s="82">
        <v>31.062225000000002</v>
      </c>
      <c r="J170" s="83">
        <v>31.986499999999999</v>
      </c>
    </row>
    <row r="171" spans="1:10" x14ac:dyDescent="0.3">
      <c r="A171" s="149" t="s">
        <v>118</v>
      </c>
      <c r="B171" s="82">
        <f t="shared" si="20"/>
        <v>92.713587069999988</v>
      </c>
      <c r="C171" s="82">
        <f t="shared" si="23"/>
        <v>88.282602999999995</v>
      </c>
      <c r="D171" s="82">
        <v>0.78212599999999999</v>
      </c>
      <c r="E171" s="82">
        <v>1.924142</v>
      </c>
      <c r="F171" s="82">
        <v>2.5339999999999998</v>
      </c>
      <c r="G171" s="86">
        <v>4.8906200000000002</v>
      </c>
      <c r="H171" s="82">
        <v>7.6884899999999998</v>
      </c>
      <c r="I171" s="82">
        <v>37.534025</v>
      </c>
      <c r="J171" s="83">
        <v>32.929200000000002</v>
      </c>
    </row>
    <row r="172" spans="1:10" x14ac:dyDescent="0.3">
      <c r="A172" s="149" t="s">
        <v>119</v>
      </c>
      <c r="B172" s="82">
        <f t="shared" si="20"/>
        <v>101.73073022</v>
      </c>
      <c r="C172" s="82">
        <f t="shared" si="23"/>
        <v>94.988846999999993</v>
      </c>
      <c r="D172" s="82">
        <v>0.78210000000000002</v>
      </c>
      <c r="E172" s="82">
        <v>2.0311620000000001</v>
      </c>
      <c r="F172" s="82">
        <v>2.66222</v>
      </c>
      <c r="G172" s="86">
        <v>4.9459400000000002</v>
      </c>
      <c r="H172" s="82">
        <v>7.8503500000000006</v>
      </c>
      <c r="I172" s="82">
        <v>41.356774999999999</v>
      </c>
      <c r="J172" s="83">
        <v>35.360300000000002</v>
      </c>
    </row>
    <row r="173" spans="1:10" x14ac:dyDescent="0.3">
      <c r="A173" s="149" t="s">
        <v>120</v>
      </c>
      <c r="B173" s="82">
        <f t="shared" si="20"/>
        <v>117.00843621999999</v>
      </c>
      <c r="C173" s="82">
        <f t="shared" si="23"/>
        <v>112.3555595</v>
      </c>
      <c r="D173" s="82">
        <v>0.782084</v>
      </c>
      <c r="E173" s="82">
        <v>2.15828</v>
      </c>
      <c r="F173" s="82">
        <v>2.8171405000000003</v>
      </c>
      <c r="G173" s="86">
        <v>5.5674199999999994</v>
      </c>
      <c r="H173" s="82">
        <v>11.191409999999999</v>
      </c>
      <c r="I173" s="82">
        <v>54.563425000000002</v>
      </c>
      <c r="J173" s="83">
        <v>35.275799999999997</v>
      </c>
    </row>
    <row r="174" spans="1:10" x14ac:dyDescent="0.3">
      <c r="A174" s="149" t="s">
        <v>121</v>
      </c>
      <c r="B174" s="82">
        <f t="shared" si="20"/>
        <v>108.6888062</v>
      </c>
      <c r="C174" s="82">
        <f t="shared" ref="C174:C177" si="24">SUM(D174:J174)</f>
        <v>103.9291245</v>
      </c>
      <c r="D174" s="82">
        <v>0.78207400000000005</v>
      </c>
      <c r="E174" s="82">
        <v>2.2524800000000003</v>
      </c>
      <c r="F174" s="82">
        <v>2.8305055000000001</v>
      </c>
      <c r="G174" s="86">
        <v>5.1832799999999999</v>
      </c>
      <c r="H174" s="82">
        <v>8.5606100000000005</v>
      </c>
      <c r="I174" s="82">
        <v>50.211775000000003</v>
      </c>
      <c r="J174" s="83">
        <v>34.108399999999996</v>
      </c>
    </row>
    <row r="175" spans="1:10" x14ac:dyDescent="0.3">
      <c r="A175" s="149" t="s">
        <v>122</v>
      </c>
      <c r="B175" s="82">
        <f t="shared" ref="B175:B189" si="25">C175+C346</f>
        <v>115.89327412000002</v>
      </c>
      <c r="C175" s="82">
        <f t="shared" si="24"/>
        <v>111.00342950000001</v>
      </c>
      <c r="D175" s="82">
        <v>0.78206699999999996</v>
      </c>
      <c r="E175" s="82">
        <v>2.287312</v>
      </c>
      <c r="F175" s="82">
        <v>3.0138655000000001</v>
      </c>
      <c r="G175" s="86">
        <v>5.5285400000000005</v>
      </c>
      <c r="H175" s="82">
        <v>8.6594699999999989</v>
      </c>
      <c r="I175" s="82">
        <v>57.753775000000005</v>
      </c>
      <c r="J175" s="83">
        <v>32.978400000000001</v>
      </c>
    </row>
    <row r="176" spans="1:10" x14ac:dyDescent="0.3">
      <c r="A176" s="149" t="s">
        <v>123</v>
      </c>
      <c r="B176" s="82">
        <f t="shared" si="25"/>
        <v>119.23199845000001</v>
      </c>
      <c r="C176" s="82">
        <f t="shared" si="24"/>
        <v>114.273887</v>
      </c>
      <c r="D176" s="82">
        <v>0.78204200000000001</v>
      </c>
      <c r="E176" s="82">
        <v>2.3084899999999999</v>
      </c>
      <c r="F176" s="82">
        <v>3.00915</v>
      </c>
      <c r="G176" s="86">
        <v>5.67727</v>
      </c>
      <c r="H176" s="82">
        <v>9.2189099999999993</v>
      </c>
      <c r="I176" s="82">
        <v>61.606825000000001</v>
      </c>
      <c r="J176" s="83">
        <v>31.671199999999999</v>
      </c>
    </row>
    <row r="177" spans="1:12" x14ac:dyDescent="0.3">
      <c r="A177" s="149" t="s">
        <v>124</v>
      </c>
      <c r="B177" s="82">
        <f t="shared" si="25"/>
        <v>134.66290759000003</v>
      </c>
      <c r="C177" s="82">
        <f t="shared" si="24"/>
        <v>129.56923600000002</v>
      </c>
      <c r="D177" s="82">
        <v>0.78203699999999998</v>
      </c>
      <c r="E177" s="82">
        <v>2.3932340000000001</v>
      </c>
      <c r="F177" s="82">
        <v>3.20702</v>
      </c>
      <c r="G177" s="86">
        <v>6.0565800000000003</v>
      </c>
      <c r="H177" s="82">
        <v>10.253889999999998</v>
      </c>
      <c r="I177" s="82">
        <v>75.854175000000012</v>
      </c>
      <c r="J177" s="83">
        <v>31.022299999999998</v>
      </c>
    </row>
    <row r="178" spans="1:12" x14ac:dyDescent="0.3">
      <c r="A178" s="149" t="s">
        <v>125</v>
      </c>
      <c r="B178" s="82">
        <f t="shared" si="25"/>
        <v>142.30409696000001</v>
      </c>
      <c r="C178" s="82">
        <f>SUM(D178:J178)</f>
        <v>137.23673500000001</v>
      </c>
      <c r="D178" s="82">
        <v>0.78203699999999998</v>
      </c>
      <c r="E178" s="82">
        <v>2.237228</v>
      </c>
      <c r="F178" s="82">
        <v>3.3422549999999998</v>
      </c>
      <c r="G178" s="86">
        <v>6.9226600000000005</v>
      </c>
      <c r="H178" s="82">
        <v>11.574430000000001</v>
      </c>
      <c r="I178" s="82">
        <v>80.182124999999999</v>
      </c>
      <c r="J178" s="83">
        <v>32.195999999999998</v>
      </c>
    </row>
    <row r="179" spans="1:12" x14ac:dyDescent="0.3">
      <c r="A179" s="149" t="s">
        <v>126</v>
      </c>
      <c r="B179" s="82">
        <f t="shared" si="25"/>
        <v>138.12050191</v>
      </c>
      <c r="C179" s="82">
        <f>SUM(D179:J179)</f>
        <v>132.702944</v>
      </c>
      <c r="D179" s="82">
        <v>0.78203699999999998</v>
      </c>
      <c r="E179" s="82">
        <f>1.588362+0.8167</f>
        <v>2.405062</v>
      </c>
      <c r="F179" s="82">
        <f>2.7363825+0.7230875</f>
        <v>3.45947</v>
      </c>
      <c r="G179" s="86">
        <f>5.582165+0.985015</f>
        <v>6.5671799999999996</v>
      </c>
      <c r="H179" s="82">
        <f>9.91508+0.49529</f>
        <v>10.41037</v>
      </c>
      <c r="I179" s="82">
        <f>74.021775+3.05495</f>
        <v>77.07672500000001</v>
      </c>
      <c r="J179" s="83">
        <f>29.1085+2.8936</f>
        <v>32.002099999999999</v>
      </c>
    </row>
    <row r="180" spans="1:12" x14ac:dyDescent="0.3">
      <c r="A180" s="149" t="s">
        <v>127</v>
      </c>
      <c r="B180" s="82">
        <f t="shared" si="25"/>
        <v>125.37508981000002</v>
      </c>
      <c r="C180" s="82">
        <f t="shared" ref="C180:C181" si="26">SUM(D180:J180)</f>
        <v>119.95558400000002</v>
      </c>
      <c r="D180" s="82">
        <f>0.782019</f>
        <v>0.78201900000000002</v>
      </c>
      <c r="E180" s="82">
        <f>1.652318+0.816652</f>
        <v>2.4689700000000001</v>
      </c>
      <c r="F180" s="82">
        <f>2.7406875+0.7223025</f>
        <v>3.46299</v>
      </c>
      <c r="G180" s="86">
        <f>4.175155+0.984665</f>
        <v>5.1598199999999999</v>
      </c>
      <c r="H180" s="82">
        <f>7.67792+0.49479</f>
        <v>8.1727100000000004</v>
      </c>
      <c r="I180" s="82">
        <f>65.070125+3.03655</f>
        <v>68.10667500000001</v>
      </c>
      <c r="J180" s="83">
        <f>28.9411+2.8613</f>
        <v>31.802399999999999</v>
      </c>
    </row>
    <row r="181" spans="1:12" x14ac:dyDescent="0.3">
      <c r="A181" s="149" t="s">
        <v>128</v>
      </c>
      <c r="B181" s="82">
        <f t="shared" si="25"/>
        <v>127.92923465</v>
      </c>
      <c r="C181" s="82">
        <f t="shared" si="26"/>
        <v>122.456075</v>
      </c>
      <c r="D181" s="82">
        <f>0.781994</f>
        <v>0.78199399999999997</v>
      </c>
      <c r="E181" s="82">
        <f>1.739126+0.81635</f>
        <v>2.5554760000000001</v>
      </c>
      <c r="F181" s="82">
        <f>2.6174175+0.7215825</f>
        <v>3.3390000000000004</v>
      </c>
      <c r="G181" s="86">
        <f>4.283985+0.983845</f>
        <v>5.26783</v>
      </c>
      <c r="H181" s="82">
        <f>7.69366+0.49339</f>
        <v>8.187050000000001</v>
      </c>
      <c r="I181" s="82">
        <f>68.179675+3.02495</f>
        <v>71.204625000000007</v>
      </c>
      <c r="J181" s="83">
        <f>28.2612+2.8589</f>
        <v>31.120100000000001</v>
      </c>
    </row>
    <row r="182" spans="1:12" x14ac:dyDescent="0.3">
      <c r="A182" s="149" t="s">
        <v>129</v>
      </c>
      <c r="B182" s="82">
        <f t="shared" si="25"/>
        <v>110.16169441000001</v>
      </c>
      <c r="C182" s="82">
        <f t="shared" ref="C182:C184" si="27">SUM(D182:J182)</f>
        <v>104.63627200000001</v>
      </c>
      <c r="D182" s="82">
        <v>0.78197899999999998</v>
      </c>
      <c r="E182" s="82">
        <f>1.64084+0.816248</f>
        <v>2.4570880000000002</v>
      </c>
      <c r="F182" s="82">
        <f>2.5457675+0.7213625</f>
        <v>3.2671300000000003</v>
      </c>
      <c r="G182" s="86">
        <f>3.992625+0.983625</f>
        <v>4.9762500000000003</v>
      </c>
      <c r="H182" s="82">
        <f>6.94476+0.49219</f>
        <v>7.4369499999999995</v>
      </c>
      <c r="I182" s="82">
        <f>53.966525+3.01145</f>
        <v>56.977975000000001</v>
      </c>
      <c r="J182" s="83">
        <f>25.9691+2.7698</f>
        <v>28.738900000000001</v>
      </c>
    </row>
    <row r="183" spans="1:12" x14ac:dyDescent="0.3">
      <c r="A183" s="149" t="s">
        <v>130</v>
      </c>
      <c r="B183" s="82">
        <f t="shared" si="25"/>
        <v>118.00557565999999</v>
      </c>
      <c r="C183" s="82">
        <f t="shared" si="27"/>
        <v>112.34035399999999</v>
      </c>
      <c r="D183" s="82">
        <v>0.78189600000000004</v>
      </c>
      <c r="E183" s="82">
        <f>0.816116+1.677682</f>
        <v>2.493798</v>
      </c>
      <c r="F183" s="82">
        <f>0.7212625+2.5415225</f>
        <v>3.262785</v>
      </c>
      <c r="G183" s="86">
        <f>0.983595+3.953485</f>
        <v>4.9370799999999999</v>
      </c>
      <c r="H183" s="82">
        <f>0.49199+7.67548</f>
        <v>8.1674699999999998</v>
      </c>
      <c r="I183" s="82">
        <f>2.96585+63.066275</f>
        <v>66.032124999999994</v>
      </c>
      <c r="J183" s="83">
        <f>2.6234+24.0418</f>
        <v>26.665199999999999</v>
      </c>
    </row>
    <row r="184" spans="1:12" x14ac:dyDescent="0.3">
      <c r="A184" s="149" t="s">
        <v>131</v>
      </c>
      <c r="B184" s="82">
        <f t="shared" si="25"/>
        <v>120.30643563000001</v>
      </c>
      <c r="C184" s="82">
        <f t="shared" si="27"/>
        <v>114.51189500000001</v>
      </c>
      <c r="D184" s="82">
        <v>0.78188000000000002</v>
      </c>
      <c r="E184" s="82">
        <f>0.815728+1.676802</f>
        <v>2.4925299999999999</v>
      </c>
      <c r="F184" s="82">
        <f>0.7196175+2.5860325</f>
        <v>3.30565</v>
      </c>
      <c r="G184" s="86">
        <f>0.981485+4.304545</f>
        <v>5.2860300000000002</v>
      </c>
      <c r="H184" s="82">
        <f>0.49019+8.21964</f>
        <v>8.7098300000000002</v>
      </c>
      <c r="I184" s="82">
        <f>5.2774+58.845075</f>
        <v>64.122475000000009</v>
      </c>
      <c r="J184" s="144">
        <f>3.3774+26.4361</f>
        <v>29.813500000000001</v>
      </c>
    </row>
    <row r="185" spans="1:12" x14ac:dyDescent="0.3">
      <c r="A185" s="149" t="s">
        <v>190</v>
      </c>
      <c r="B185" s="82">
        <f t="shared" si="25"/>
        <v>141.58604104999998</v>
      </c>
      <c r="C185" s="82">
        <f t="shared" ref="C185" si="28">SUM(D185:J185)</f>
        <v>135.88521499999999</v>
      </c>
      <c r="D185" s="82">
        <f>0.7817</f>
        <v>0.78169999999999995</v>
      </c>
      <c r="E185" s="82">
        <f>1.03701+1.322364</f>
        <v>2.3593739999999999</v>
      </c>
      <c r="F185" s="82">
        <f>1.0616385+2.0371275</f>
        <v>3.0987659999999999</v>
      </c>
      <c r="G185" s="86">
        <f>2.212015+3.642165</f>
        <v>5.8541799999999995</v>
      </c>
      <c r="H185" s="82">
        <f>2.81095+6.75592</f>
        <v>9.5668699999999998</v>
      </c>
      <c r="I185" s="82">
        <f>4.1336+77.787525</f>
        <v>81.921125000000004</v>
      </c>
      <c r="J185" s="144">
        <f>8.9549+23.3483</f>
        <v>32.303199999999997</v>
      </c>
    </row>
    <row r="186" spans="1:12" x14ac:dyDescent="0.3">
      <c r="A186" s="149" t="s">
        <v>191</v>
      </c>
      <c r="B186" s="82">
        <f t="shared" si="25"/>
        <v>116.61782116000001</v>
      </c>
      <c r="C186" s="82">
        <f t="shared" ref="C186" si="29">SUM(D186:J186)</f>
        <v>110.67986000000001</v>
      </c>
      <c r="D186" s="82">
        <v>0.78168099999999996</v>
      </c>
      <c r="E186" s="82">
        <f>1.131544+1.15828</f>
        <v>2.2898240000000003</v>
      </c>
      <c r="F186" s="82">
        <f>1.5948775+1.2910525+0.0835</f>
        <v>2.96943</v>
      </c>
      <c r="G186" s="86">
        <f>2.985645+2.507375+0.255</f>
        <v>5.7480199999999995</v>
      </c>
      <c r="H186" s="82">
        <f>5.46486+3.21437</f>
        <v>8.6792300000000004</v>
      </c>
      <c r="I186" s="82">
        <f>48.218325+6.33625</f>
        <v>54.554575</v>
      </c>
      <c r="J186" s="144">
        <f>21.7708+13.8863</f>
        <v>35.6571</v>
      </c>
    </row>
    <row r="187" spans="1:12" x14ac:dyDescent="0.3">
      <c r="A187" s="149" t="s">
        <v>192</v>
      </c>
      <c r="B187" s="82">
        <f t="shared" si="25"/>
        <v>128.04460426</v>
      </c>
      <c r="C187" s="82">
        <f t="shared" ref="C187" si="30">SUM(D187:J187)</f>
        <v>122.02699150000001</v>
      </c>
      <c r="D187" s="82">
        <v>0.78164199999999995</v>
      </c>
      <c r="E187" s="82">
        <f>1.150462+1.328372+0.00002</f>
        <v>2.4788540000000001</v>
      </c>
      <c r="F187" s="82">
        <f>1.5734975+1.418373+0.12205</f>
        <v>3.1139205000000003</v>
      </c>
      <c r="G187" s="86">
        <f>3.069515+3.030485+0.2711</f>
        <v>6.3710999999999993</v>
      </c>
      <c r="H187" s="82">
        <f>5.26412+3.79893+0.0002</f>
        <v>9.06325</v>
      </c>
      <c r="I187" s="82">
        <f>48.539175+12.85735+0.0005</f>
        <v>61.397024999999999</v>
      </c>
      <c r="J187" s="144">
        <f>25.068+13.7522+0.001</f>
        <v>38.821199999999997</v>
      </c>
    </row>
    <row r="188" spans="1:12" x14ac:dyDescent="0.3">
      <c r="A188" s="149" t="s">
        <v>194</v>
      </c>
      <c r="B188" s="82">
        <f t="shared" si="25"/>
        <v>129.54998811000002</v>
      </c>
      <c r="C188" s="82">
        <f t="shared" ref="C188" si="31">SUM(D188:J188)</f>
        <v>123.40902700000001</v>
      </c>
      <c r="D188" s="82">
        <v>0.78163499999999997</v>
      </c>
      <c r="E188" s="82">
        <f>1.35133+1.126575+0.081492</f>
        <v>2.5593969999999997</v>
      </c>
      <c r="F188" s="82">
        <f>1.3431025+1.7798675+0.12681</f>
        <v>3.2497799999999999</v>
      </c>
      <c r="G188" s="86">
        <f>2.479705+3.609545+0.46901</f>
        <v>6.5582599999999998</v>
      </c>
      <c r="H188" s="82">
        <f>3.26053+5.42152+0.59898</f>
        <v>9.2810299999999994</v>
      </c>
      <c r="I188" s="82">
        <f>10.755+41.561025+7.905</f>
        <v>60.221025000000004</v>
      </c>
      <c r="J188" s="144">
        <f>12.7708+26.569+1.4181</f>
        <v>40.757899999999999</v>
      </c>
    </row>
    <row r="189" spans="1:12" x14ac:dyDescent="0.3">
      <c r="A189" s="149" t="s">
        <v>248</v>
      </c>
      <c r="B189" s="82">
        <f t="shared" si="25"/>
        <v>136.30122215999998</v>
      </c>
      <c r="C189" s="82">
        <f t="shared" ref="C189" si="32">SUM(D189:J189)</f>
        <v>130.08903049999998</v>
      </c>
      <c r="D189" s="82">
        <f>0.781614</f>
        <v>0.78161400000000003</v>
      </c>
      <c r="E189" s="82">
        <f>1.580578+0.079554+0.807929</f>
        <v>2.4680610000000001</v>
      </c>
      <c r="F189" s="82">
        <f>1.2018025+1.630248+0.129015</f>
        <v>2.9610655000000001</v>
      </c>
      <c r="G189" s="86">
        <f>0.52317+1.97648+2.8687</f>
        <v>5.3683499999999995</v>
      </c>
      <c r="H189" s="82">
        <f>0.60112+3.11013+4.70974</f>
        <v>8.4209899999999998</v>
      </c>
      <c r="I189" s="82">
        <f>20.00185+9.198+38.0467</f>
        <v>67.246549999999999</v>
      </c>
      <c r="J189" s="144">
        <f>7.1041+11.3687+24.3696</f>
        <v>42.842399999999998</v>
      </c>
      <c r="K189" s="172"/>
    </row>
    <row r="190" spans="1:12" x14ac:dyDescent="0.3">
      <c r="A190" s="149" t="s">
        <v>249</v>
      </c>
      <c r="B190" s="82">
        <f>C190+C361</f>
        <v>121.66903891</v>
      </c>
      <c r="C190" s="82">
        <f t="shared" ref="C190" si="33">SUM(D190:J190)</f>
        <v>115.354547</v>
      </c>
      <c r="D190" s="82">
        <f>0.781589</f>
        <v>0.78158899999999998</v>
      </c>
      <c r="E190" s="82">
        <f>0.993014+1.361735+0.082268</f>
        <v>2.437017</v>
      </c>
      <c r="F190" s="82">
        <f>1.131148+1.370048+0.156345</f>
        <v>2.6575410000000002</v>
      </c>
      <c r="G190" s="86">
        <f>3.03424+1.35275+0.51746</f>
        <v>4.9044499999999998</v>
      </c>
      <c r="H190" s="82">
        <f>5.21922+1.65991+0.57612</f>
        <v>7.4552499999999995</v>
      </c>
      <c r="I190" s="82">
        <f>24.7863+6.92835+25.2045</f>
        <v>56.919150000000002</v>
      </c>
      <c r="J190" s="144">
        <f>19.38545+9.0192+11.7949</f>
        <v>40.199549999999995</v>
      </c>
      <c r="K190" s="171"/>
    </row>
    <row r="191" spans="1:12" x14ac:dyDescent="0.3">
      <c r="A191" s="151" t="s">
        <v>13</v>
      </c>
      <c r="B191" s="89"/>
      <c r="C191" s="90" t="s">
        <v>79</v>
      </c>
      <c r="D191" s="191" t="s">
        <v>80</v>
      </c>
      <c r="E191" s="191"/>
      <c r="F191" s="191"/>
      <c r="G191" s="191"/>
      <c r="H191" s="191"/>
      <c r="I191" s="191"/>
      <c r="J191" s="191"/>
      <c r="L191" s="158"/>
    </row>
    <row r="192" spans="1:12" x14ac:dyDescent="0.3">
      <c r="A192" s="147" t="s">
        <v>23</v>
      </c>
      <c r="B192" s="91"/>
      <c r="C192" s="92" t="s">
        <v>72</v>
      </c>
      <c r="D192" s="93" t="s">
        <v>81</v>
      </c>
      <c r="E192" s="93" t="s">
        <v>82</v>
      </c>
      <c r="F192" s="93" t="s">
        <v>83</v>
      </c>
      <c r="G192" s="93" t="s">
        <v>84</v>
      </c>
      <c r="H192" s="93" t="s">
        <v>85</v>
      </c>
      <c r="I192" s="93" t="s">
        <v>86</v>
      </c>
      <c r="J192" s="94" t="s">
        <v>73</v>
      </c>
    </row>
    <row r="193" spans="1:10" ht="14.55" hidden="1" customHeight="1" x14ac:dyDescent="0.3">
      <c r="A193" s="137" t="s">
        <v>50</v>
      </c>
      <c r="B193" s="95"/>
      <c r="C193" s="79">
        <v>1.5</v>
      </c>
      <c r="D193" s="79">
        <v>0.1</v>
      </c>
      <c r="E193" s="79">
        <v>0.1</v>
      </c>
      <c r="F193" s="79">
        <v>0.2</v>
      </c>
      <c r="G193" s="79">
        <v>0.3</v>
      </c>
      <c r="H193" s="79">
        <v>0.3</v>
      </c>
      <c r="I193" s="79">
        <v>0.3</v>
      </c>
      <c r="J193" s="80">
        <v>0</v>
      </c>
    </row>
    <row r="194" spans="1:10" ht="14.55" hidden="1" customHeight="1" x14ac:dyDescent="0.3">
      <c r="A194" s="137" t="s">
        <v>51</v>
      </c>
      <c r="B194" s="95"/>
      <c r="C194" s="79">
        <v>1.4</v>
      </c>
      <c r="D194" s="79">
        <v>7.0000000000000007E-2</v>
      </c>
      <c r="E194" s="79">
        <v>0.08</v>
      </c>
      <c r="F194" s="79">
        <v>0.2</v>
      </c>
      <c r="G194" s="79">
        <v>0.3</v>
      </c>
      <c r="H194" s="79">
        <v>0.3</v>
      </c>
      <c r="I194" s="79">
        <v>0.4</v>
      </c>
      <c r="J194" s="80">
        <v>0</v>
      </c>
    </row>
    <row r="195" spans="1:10" ht="14.55" hidden="1" customHeight="1" x14ac:dyDescent="0.3">
      <c r="A195" s="137" t="s">
        <v>52</v>
      </c>
      <c r="B195" s="95"/>
      <c r="C195" s="79">
        <v>1.5</v>
      </c>
      <c r="D195" s="79">
        <v>0.1</v>
      </c>
      <c r="E195" s="79">
        <v>0.1</v>
      </c>
      <c r="F195" s="79">
        <v>0.2</v>
      </c>
      <c r="G195" s="79">
        <v>0.3</v>
      </c>
      <c r="H195" s="79">
        <v>0.3</v>
      </c>
      <c r="I195" s="79">
        <v>0.4</v>
      </c>
      <c r="J195" s="80">
        <v>0</v>
      </c>
    </row>
    <row r="196" spans="1:10" ht="14.55" hidden="1" customHeight="1" x14ac:dyDescent="0.3">
      <c r="A196" s="137" t="s">
        <v>53</v>
      </c>
      <c r="B196" s="95"/>
      <c r="C196" s="79">
        <v>1.5</v>
      </c>
      <c r="D196" s="79">
        <v>0.1</v>
      </c>
      <c r="E196" s="79">
        <v>0.1</v>
      </c>
      <c r="F196" s="79">
        <v>0.2</v>
      </c>
      <c r="G196" s="79">
        <v>0.3</v>
      </c>
      <c r="H196" s="79">
        <v>0.3</v>
      </c>
      <c r="I196" s="79">
        <v>0.4</v>
      </c>
      <c r="J196" s="80">
        <v>0</v>
      </c>
    </row>
    <row r="197" spans="1:10" ht="14.55" hidden="1" customHeight="1" x14ac:dyDescent="0.3">
      <c r="A197" s="137" t="s">
        <v>54</v>
      </c>
      <c r="B197" s="95"/>
      <c r="C197" s="79">
        <v>1.6</v>
      </c>
      <c r="D197" s="79">
        <v>0.09</v>
      </c>
      <c r="E197" s="79">
        <v>0.09</v>
      </c>
      <c r="F197" s="79">
        <v>0.2</v>
      </c>
      <c r="G197" s="79">
        <v>0.3</v>
      </c>
      <c r="H197" s="79">
        <v>0.3</v>
      </c>
      <c r="I197" s="79">
        <v>0.4</v>
      </c>
      <c r="J197" s="80">
        <v>0</v>
      </c>
    </row>
    <row r="198" spans="1:10" ht="14.55" hidden="1" customHeight="1" x14ac:dyDescent="0.3">
      <c r="A198" s="137" t="s">
        <v>55</v>
      </c>
      <c r="B198" s="95"/>
      <c r="C198" s="79">
        <v>1.5</v>
      </c>
      <c r="D198" s="79">
        <v>0.1</v>
      </c>
      <c r="E198" s="79">
        <v>0.1</v>
      </c>
      <c r="F198" s="79">
        <v>0.2</v>
      </c>
      <c r="G198" s="79">
        <v>0.3</v>
      </c>
      <c r="H198" s="79">
        <v>0.3</v>
      </c>
      <c r="I198" s="79">
        <v>0.4</v>
      </c>
      <c r="J198" s="80">
        <v>0</v>
      </c>
    </row>
    <row r="199" spans="1:10" ht="14.55" hidden="1" customHeight="1" x14ac:dyDescent="0.3">
      <c r="A199" s="137" t="s">
        <v>56</v>
      </c>
      <c r="B199" s="95"/>
      <c r="C199" s="79">
        <v>1.6577394599999999</v>
      </c>
      <c r="D199" s="79">
        <v>8.6045130000000011E-2</v>
      </c>
      <c r="E199" s="79">
        <v>9.231528E-2</v>
      </c>
      <c r="F199" s="79">
        <v>0.22134935</v>
      </c>
      <c r="G199" s="79">
        <v>0.36820059999999999</v>
      </c>
      <c r="H199" s="79">
        <v>0.3735696</v>
      </c>
      <c r="I199" s="79">
        <v>0.46524549999999998</v>
      </c>
      <c r="J199" s="80">
        <v>0</v>
      </c>
    </row>
    <row r="200" spans="1:10" ht="14.55" hidden="1" customHeight="1" x14ac:dyDescent="0.3">
      <c r="A200" s="137" t="s">
        <v>57</v>
      </c>
      <c r="B200" s="95"/>
      <c r="C200" s="79">
        <v>1.6849087400000002</v>
      </c>
      <c r="D200" s="79">
        <v>8.7227600000000002E-2</v>
      </c>
      <c r="E200" s="79">
        <v>9.3125340000000001E-2</v>
      </c>
      <c r="F200" s="79">
        <v>0.22750699999999999</v>
      </c>
      <c r="G200" s="79">
        <v>0.38252159999999996</v>
      </c>
      <c r="H200" s="79">
        <v>0.38882520000000004</v>
      </c>
      <c r="I200" s="79">
        <v>0.4823035</v>
      </c>
      <c r="J200" s="80">
        <v>0</v>
      </c>
    </row>
    <row r="201" spans="1:10" ht="14.55" hidden="1" customHeight="1" x14ac:dyDescent="0.3">
      <c r="A201" s="137" t="s">
        <v>58</v>
      </c>
      <c r="B201" s="95"/>
      <c r="C201" s="79">
        <v>1.7233257200000001</v>
      </c>
      <c r="D201" s="79">
        <v>8.7611600000000012E-2</v>
      </c>
      <c r="E201" s="79">
        <v>9.4268320000000003E-2</v>
      </c>
      <c r="F201" s="79">
        <v>0.23410710000000001</v>
      </c>
      <c r="G201" s="79">
        <v>0.40239970000000003</v>
      </c>
      <c r="H201" s="79">
        <v>0.41070499999999999</v>
      </c>
      <c r="I201" s="79">
        <v>0.49423400000000001</v>
      </c>
      <c r="J201" s="80">
        <v>0</v>
      </c>
    </row>
    <row r="202" spans="1:10" ht="14.55" hidden="1" customHeight="1" x14ac:dyDescent="0.3">
      <c r="A202" s="137" t="s">
        <v>59</v>
      </c>
      <c r="B202" s="95"/>
      <c r="C202" s="79">
        <v>1.764637</v>
      </c>
      <c r="D202" s="79">
        <v>8.7694999999999995E-2</v>
      </c>
      <c r="E202" s="79">
        <v>9.4507999999999995E-2</v>
      </c>
      <c r="F202" s="79">
        <v>0.24123900000000001</v>
      </c>
      <c r="G202" s="79">
        <v>0.41571799999999998</v>
      </c>
      <c r="H202" s="79">
        <v>0.42538700000000002</v>
      </c>
      <c r="I202" s="79">
        <v>0.50009000000000003</v>
      </c>
      <c r="J202" s="80">
        <v>0</v>
      </c>
    </row>
    <row r="203" spans="1:10" ht="14.55" hidden="1" customHeight="1" x14ac:dyDescent="0.3">
      <c r="A203" s="137" t="s">
        <v>60</v>
      </c>
      <c r="B203" s="95"/>
      <c r="C203" s="79">
        <f t="shared" ref="C203:I203" si="34">C306</f>
        <v>1.8179723999999999</v>
      </c>
      <c r="D203" s="79">
        <f t="shared" si="34"/>
        <v>8.8374960000000002E-2</v>
      </c>
      <c r="E203" s="79">
        <f t="shared" si="34"/>
        <v>9.5717140000000006E-2</v>
      </c>
      <c r="F203" s="79">
        <f t="shared" si="34"/>
        <v>0.24443429999999999</v>
      </c>
      <c r="G203" s="79">
        <f t="shared" si="34"/>
        <v>0.4289558</v>
      </c>
      <c r="H203" s="79">
        <f t="shared" si="34"/>
        <v>0.44050319999999998</v>
      </c>
      <c r="I203" s="79">
        <f t="shared" si="34"/>
        <v>0.51998699999999998</v>
      </c>
      <c r="J203" s="80">
        <v>0</v>
      </c>
    </row>
    <row r="204" spans="1:10" ht="15" hidden="1" customHeight="1" x14ac:dyDescent="0.3">
      <c r="A204" s="137" t="s">
        <v>61</v>
      </c>
      <c r="B204" s="95"/>
      <c r="C204" s="79">
        <f t="shared" ref="C204:I204" si="35">C310</f>
        <v>1.9085310600000001</v>
      </c>
      <c r="D204" s="79">
        <f t="shared" si="35"/>
        <v>8.8527060000000005E-2</v>
      </c>
      <c r="E204" s="79">
        <f t="shared" si="35"/>
        <v>9.5896999999999996E-2</v>
      </c>
      <c r="F204" s="79">
        <f t="shared" si="35"/>
        <v>0.25302599999999997</v>
      </c>
      <c r="G204" s="79">
        <f t="shared" si="35"/>
        <v>0.45858900000000002</v>
      </c>
      <c r="H204" s="79">
        <f t="shared" si="35"/>
        <v>0.46652700000000003</v>
      </c>
      <c r="I204" s="79">
        <f t="shared" si="35"/>
        <v>0.54596500000000003</v>
      </c>
      <c r="J204" s="80">
        <v>0</v>
      </c>
    </row>
    <row r="205" spans="1:10" ht="15" hidden="1" customHeight="1" x14ac:dyDescent="0.3">
      <c r="A205" s="137" t="s">
        <v>62</v>
      </c>
      <c r="B205" s="95"/>
      <c r="C205" s="79">
        <f t="shared" ref="C205:I205" si="36">C314</f>
        <v>1.9720092</v>
      </c>
      <c r="D205" s="79">
        <f t="shared" si="36"/>
        <v>8.8677060000000002E-2</v>
      </c>
      <c r="E205" s="79">
        <f t="shared" si="36"/>
        <v>9.6063140000000005E-2</v>
      </c>
      <c r="F205" s="79">
        <f t="shared" si="36"/>
        <v>0.2590094</v>
      </c>
      <c r="G205" s="79">
        <f t="shared" si="36"/>
        <v>0.47423969999999999</v>
      </c>
      <c r="H205" s="79">
        <f t="shared" si="36"/>
        <v>0.4816764</v>
      </c>
      <c r="I205" s="79">
        <f t="shared" si="36"/>
        <v>0.57234350000000001</v>
      </c>
      <c r="J205" s="80">
        <v>0</v>
      </c>
    </row>
    <row r="206" spans="1:10" ht="15" hidden="1" customHeight="1" x14ac:dyDescent="0.3">
      <c r="A206" s="137" t="s">
        <v>63</v>
      </c>
      <c r="B206" s="95"/>
      <c r="C206" s="79">
        <f t="shared" ref="C206:I206" si="37">C318</f>
        <v>2.0553100899999999</v>
      </c>
      <c r="D206" s="79">
        <f t="shared" si="37"/>
        <v>8.8984880000000002E-2</v>
      </c>
      <c r="E206" s="79">
        <f t="shared" si="37"/>
        <v>9.6302860000000004E-2</v>
      </c>
      <c r="F206" s="79">
        <f t="shared" si="37"/>
        <v>0.26714674999999999</v>
      </c>
      <c r="G206" s="79">
        <f t="shared" si="37"/>
        <v>0.49280299999999999</v>
      </c>
      <c r="H206" s="79">
        <f t="shared" si="37"/>
        <v>0.50407760000000001</v>
      </c>
      <c r="I206" s="79">
        <f t="shared" si="37"/>
        <v>0.60599499999999995</v>
      </c>
      <c r="J206" s="80">
        <v>0</v>
      </c>
    </row>
    <row r="207" spans="1:10" ht="15" hidden="1" customHeight="1" x14ac:dyDescent="0.3">
      <c r="A207" s="137" t="s">
        <v>66</v>
      </c>
      <c r="B207" s="95"/>
      <c r="C207" s="79">
        <f t="shared" ref="C207:I207" si="38">C322</f>
        <v>2.1385683599999998</v>
      </c>
      <c r="D207" s="79">
        <f t="shared" si="38"/>
        <v>8.9291819999999994E-2</v>
      </c>
      <c r="E207" s="79">
        <f t="shared" si="38"/>
        <v>9.6620739999999997E-2</v>
      </c>
      <c r="F207" s="79">
        <f t="shared" si="38"/>
        <v>0.27170680000000003</v>
      </c>
      <c r="G207" s="79">
        <f t="shared" si="38"/>
        <v>0.52310230000000002</v>
      </c>
      <c r="H207" s="79">
        <f t="shared" si="38"/>
        <v>0.53093420000000002</v>
      </c>
      <c r="I207" s="79">
        <f t="shared" si="38"/>
        <v>0.62691249999999998</v>
      </c>
      <c r="J207" s="80">
        <f>J322</f>
        <v>0</v>
      </c>
    </row>
    <row r="208" spans="1:10" ht="15" hidden="1" customHeight="1" x14ac:dyDescent="0.3">
      <c r="A208" s="137" t="s">
        <v>67</v>
      </c>
      <c r="B208" s="95"/>
      <c r="C208" s="79">
        <f t="shared" ref="C208:J208" si="39">C326</f>
        <v>2.9699255600000001</v>
      </c>
      <c r="D208" s="79">
        <f t="shared" si="39"/>
        <v>8.8974750000000005E-2</v>
      </c>
      <c r="E208" s="79">
        <f t="shared" si="39"/>
        <v>9.6198859999999997E-2</v>
      </c>
      <c r="F208" s="79">
        <f t="shared" si="39"/>
        <v>0.27900065000000002</v>
      </c>
      <c r="G208" s="79">
        <f t="shared" si="39"/>
        <v>0.5734224</v>
      </c>
      <c r="H208" s="79">
        <f t="shared" si="39"/>
        <v>0.61168140000000004</v>
      </c>
      <c r="I208" s="79">
        <f t="shared" si="39"/>
        <v>0.73560749999999997</v>
      </c>
      <c r="J208" s="80">
        <f t="shared" si="39"/>
        <v>0.58504</v>
      </c>
    </row>
    <row r="209" spans="1:10" ht="15" hidden="1" customHeight="1" x14ac:dyDescent="0.3">
      <c r="A209" s="137" t="s">
        <v>68</v>
      </c>
      <c r="B209" s="95"/>
      <c r="C209" s="79">
        <f t="shared" ref="C209:J209" si="40">C330</f>
        <v>3.3663560000000001</v>
      </c>
      <c r="D209" s="79">
        <f t="shared" si="40"/>
        <v>9.3741210000000005E-2</v>
      </c>
      <c r="E209" s="79">
        <f t="shared" si="40"/>
        <v>0.10181543999999999</v>
      </c>
      <c r="F209" s="79">
        <f t="shared" si="40"/>
        <v>0.28952665</v>
      </c>
      <c r="G209" s="79">
        <f t="shared" si="40"/>
        <v>0.61353849999999999</v>
      </c>
      <c r="H209" s="79">
        <f t="shared" si="40"/>
        <v>0.68069820000000003</v>
      </c>
      <c r="I209" s="79">
        <f t="shared" si="40"/>
        <v>0.85783600000000004</v>
      </c>
      <c r="J209" s="80">
        <f t="shared" si="40"/>
        <v>0.72919999999999996</v>
      </c>
    </row>
    <row r="210" spans="1:10" ht="15" customHeight="1" x14ac:dyDescent="0.3">
      <c r="A210" s="137" t="s">
        <v>94</v>
      </c>
      <c r="B210" s="95"/>
      <c r="C210" s="79">
        <f t="shared" ref="C210:J210" si="41">C334</f>
        <v>3.7575477399999997</v>
      </c>
      <c r="D210" s="79">
        <f t="shared" si="41"/>
        <v>9.3718449999999995E-2</v>
      </c>
      <c r="E210" s="79">
        <f t="shared" si="41"/>
        <v>0.10179284</v>
      </c>
      <c r="F210" s="79">
        <f t="shared" si="41"/>
        <v>0.30000294999999999</v>
      </c>
      <c r="G210" s="79">
        <f t="shared" si="41"/>
        <v>0.65348980000000001</v>
      </c>
      <c r="H210" s="79">
        <f t="shared" si="41"/>
        <v>0.74230119999999999</v>
      </c>
      <c r="I210" s="79">
        <f t="shared" si="41"/>
        <v>0.9584085</v>
      </c>
      <c r="J210" s="80">
        <f t="shared" si="41"/>
        <v>0.90783400000000003</v>
      </c>
    </row>
    <row r="211" spans="1:10" ht="15" customHeight="1" x14ac:dyDescent="0.3">
      <c r="A211" s="137" t="s">
        <v>95</v>
      </c>
      <c r="B211" s="95"/>
      <c r="C211" s="79">
        <f t="shared" ref="C211:J211" si="42">C338</f>
        <v>4.1123834700000002</v>
      </c>
      <c r="D211" s="79">
        <f t="shared" si="42"/>
        <v>9.3709749999999994E-2</v>
      </c>
      <c r="E211" s="79">
        <f t="shared" si="42"/>
        <v>0.10178122000000001</v>
      </c>
      <c r="F211" s="79">
        <f t="shared" si="42"/>
        <v>0.3107394</v>
      </c>
      <c r="G211" s="79">
        <f t="shared" si="42"/>
        <v>0.69889400000000002</v>
      </c>
      <c r="H211" s="79">
        <f t="shared" si="42"/>
        <v>0.79704560000000002</v>
      </c>
      <c r="I211" s="79">
        <f t="shared" si="42"/>
        <v>1.0249055</v>
      </c>
      <c r="J211" s="80">
        <f t="shared" si="42"/>
        <v>1.0853079999999999</v>
      </c>
    </row>
    <row r="212" spans="1:10" ht="15" customHeight="1" x14ac:dyDescent="0.3">
      <c r="A212" s="137" t="s">
        <v>96</v>
      </c>
      <c r="B212" s="95"/>
      <c r="C212" s="79">
        <f t="shared" ref="C212:J212" si="43">C342</f>
        <v>4.4309840700000001</v>
      </c>
      <c r="D212" s="79">
        <f t="shared" si="43"/>
        <v>9.3708970000000003E-2</v>
      </c>
      <c r="E212" s="79">
        <f t="shared" si="43"/>
        <v>0.10177899999999999</v>
      </c>
      <c r="F212" s="79">
        <f t="shared" si="43"/>
        <v>0.3196814</v>
      </c>
      <c r="G212" s="79">
        <f t="shared" si="43"/>
        <v>0.72864689999999999</v>
      </c>
      <c r="H212" s="79">
        <f t="shared" si="43"/>
        <v>0.86322080000000001</v>
      </c>
      <c r="I212" s="79">
        <f t="shared" si="43"/>
        <v>1.118106</v>
      </c>
      <c r="J212" s="80">
        <f t="shared" si="43"/>
        <v>1.2058409999999999</v>
      </c>
    </row>
    <row r="213" spans="1:10" ht="15" customHeight="1" x14ac:dyDescent="0.3">
      <c r="A213" s="137" t="s">
        <v>97</v>
      </c>
      <c r="B213" s="95"/>
      <c r="C213" s="79">
        <f t="shared" ref="C213:J213" si="44">C346</f>
        <v>4.8898446199999999</v>
      </c>
      <c r="D213" s="79">
        <f t="shared" si="44"/>
        <v>9.3708890000000003E-2</v>
      </c>
      <c r="E213" s="79">
        <f t="shared" si="44"/>
        <v>0.10177886</v>
      </c>
      <c r="F213" s="79">
        <f t="shared" si="44"/>
        <v>0.33104915000000001</v>
      </c>
      <c r="G213" s="79">
        <f t="shared" si="44"/>
        <v>0.7851032</v>
      </c>
      <c r="H213" s="79">
        <f t="shared" si="44"/>
        <v>0.94488302000000002</v>
      </c>
      <c r="I213" s="79">
        <f t="shared" si="44"/>
        <v>1.2173785000000001</v>
      </c>
      <c r="J213" s="80">
        <f t="shared" si="44"/>
        <v>1.415943</v>
      </c>
    </row>
    <row r="214" spans="1:10" ht="15" customHeight="1" x14ac:dyDescent="0.3">
      <c r="A214" s="137" t="s">
        <v>100</v>
      </c>
      <c r="B214" s="85"/>
      <c r="C214" s="79">
        <f t="shared" ref="C214:J214" si="45">C350</f>
        <v>5.4175579100000002</v>
      </c>
      <c r="D214" s="79">
        <f t="shared" si="45"/>
        <v>9.3708890000000003E-2</v>
      </c>
      <c r="E214" s="79">
        <f t="shared" si="45"/>
        <v>0.20355772</v>
      </c>
      <c r="F214" s="79">
        <f t="shared" si="45"/>
        <v>0.34059689999999998</v>
      </c>
      <c r="G214" s="79">
        <f t="shared" si="45"/>
        <v>0.82642989999999994</v>
      </c>
      <c r="H214" s="79">
        <f t="shared" si="45"/>
        <v>1.010753</v>
      </c>
      <c r="I214" s="79">
        <f t="shared" si="45"/>
        <v>1.3308065</v>
      </c>
      <c r="J214" s="80">
        <f t="shared" si="45"/>
        <v>1.6117049999999999</v>
      </c>
    </row>
    <row r="215" spans="1:10" ht="15" customHeight="1" x14ac:dyDescent="0.3">
      <c r="A215" s="137" t="s">
        <v>188</v>
      </c>
      <c r="B215" s="85"/>
      <c r="C215" s="82">
        <f t="shared" ref="C215:J215" si="46">C354</f>
        <v>5.6652216600000003</v>
      </c>
      <c r="D215" s="82">
        <f t="shared" si="46"/>
        <v>9.3708739999999999E-2</v>
      </c>
      <c r="E215" s="82">
        <f t="shared" si="46"/>
        <v>0.10177872</v>
      </c>
      <c r="F215" s="82">
        <f t="shared" si="46"/>
        <v>0.35561109999999996</v>
      </c>
      <c r="G215" s="82">
        <f t="shared" si="46"/>
        <v>0.88000780000000001</v>
      </c>
      <c r="H215" s="82">
        <f t="shared" si="46"/>
        <v>1.0817718000000001</v>
      </c>
      <c r="I215" s="82">
        <f t="shared" si="46"/>
        <v>1.4010605</v>
      </c>
      <c r="J215" s="80">
        <f t="shared" si="46"/>
        <v>1.7512829999999999</v>
      </c>
    </row>
    <row r="216" spans="1:10" ht="15" customHeight="1" x14ac:dyDescent="0.3">
      <c r="A216" s="137" t="s">
        <v>193</v>
      </c>
      <c r="B216" s="85"/>
      <c r="C216" s="82">
        <f t="shared" ref="C216:J216" si="47">C358</f>
        <v>6.0176127600000004</v>
      </c>
      <c r="D216" s="82">
        <f t="shared" si="47"/>
        <v>9.3708429999999995E-2</v>
      </c>
      <c r="E216" s="82">
        <f t="shared" si="47"/>
        <v>0.10177838</v>
      </c>
      <c r="F216" s="82">
        <f t="shared" si="47"/>
        <v>0.36239755000000001</v>
      </c>
      <c r="G216" s="82">
        <f t="shared" si="47"/>
        <v>0.92158469999999992</v>
      </c>
      <c r="H216" s="82">
        <f t="shared" si="47"/>
        <v>1.1386292</v>
      </c>
      <c r="I216" s="82">
        <f t="shared" si="47"/>
        <v>1.5142244999999999</v>
      </c>
      <c r="J216" s="80">
        <f t="shared" si="47"/>
        <v>1.8852899999999999</v>
      </c>
    </row>
    <row r="217" spans="1:10" ht="14.55" customHeight="1" x14ac:dyDescent="0.3">
      <c r="A217" s="148"/>
      <c r="B217" s="85"/>
      <c r="C217" s="87"/>
      <c r="D217" s="87"/>
      <c r="E217" s="87"/>
      <c r="F217" s="87"/>
      <c r="G217" s="87"/>
      <c r="H217" s="87"/>
      <c r="I217" s="87"/>
      <c r="J217" s="83"/>
    </row>
    <row r="218" spans="1:10" ht="14.55" customHeight="1" x14ac:dyDescent="0.3">
      <c r="A218" s="149" t="s">
        <v>245</v>
      </c>
      <c r="B218" s="85"/>
      <c r="C218" s="82">
        <f t="shared" ref="C218:C267" si="48">SUM(D218:J218)</f>
        <v>0.6399999999999999</v>
      </c>
      <c r="D218" s="82">
        <v>0.05</v>
      </c>
      <c r="E218" s="86">
        <v>0.05</v>
      </c>
      <c r="F218" s="82">
        <v>0.09</v>
      </c>
      <c r="G218" s="82">
        <v>0.12</v>
      </c>
      <c r="H218" s="82">
        <v>0.15</v>
      </c>
      <c r="I218" s="82">
        <v>0.18</v>
      </c>
      <c r="J218" s="83">
        <v>0</v>
      </c>
    </row>
    <row r="219" spans="1:10" ht="14.55" customHeight="1" x14ac:dyDescent="0.3">
      <c r="A219" s="149" t="s">
        <v>195</v>
      </c>
      <c r="B219" s="85"/>
      <c r="C219" s="82">
        <f t="shared" si="48"/>
        <v>0.8600000000000001</v>
      </c>
      <c r="D219" s="82">
        <v>0.05</v>
      </c>
      <c r="E219" s="86">
        <v>0.09</v>
      </c>
      <c r="F219" s="82">
        <v>0.12</v>
      </c>
      <c r="G219" s="82">
        <v>0.15</v>
      </c>
      <c r="H219" s="82">
        <v>0.18</v>
      </c>
      <c r="I219" s="82">
        <v>0.27</v>
      </c>
      <c r="J219" s="83">
        <v>0</v>
      </c>
    </row>
    <row r="220" spans="1:10" ht="14.55" customHeight="1" x14ac:dyDescent="0.3">
      <c r="A220" s="149" t="s">
        <v>196</v>
      </c>
      <c r="B220" s="85"/>
      <c r="C220" s="82">
        <f t="shared" si="48"/>
        <v>0.88000000000000012</v>
      </c>
      <c r="D220" s="82">
        <v>0.05</v>
      </c>
      <c r="E220" s="86">
        <v>0.09</v>
      </c>
      <c r="F220" s="82">
        <v>0.13</v>
      </c>
      <c r="G220" s="82">
        <v>0.15</v>
      </c>
      <c r="H220" s="82">
        <v>0.19</v>
      </c>
      <c r="I220" s="82">
        <v>0.27</v>
      </c>
      <c r="J220" s="83">
        <v>0</v>
      </c>
    </row>
    <row r="221" spans="1:10" ht="14.55" customHeight="1" x14ac:dyDescent="0.3">
      <c r="A221" s="149" t="s">
        <v>197</v>
      </c>
      <c r="B221" s="85"/>
      <c r="C221" s="82">
        <f t="shared" si="48"/>
        <v>0.88000000000000012</v>
      </c>
      <c r="D221" s="82">
        <v>0.05</v>
      </c>
      <c r="E221" s="86">
        <v>0.09</v>
      </c>
      <c r="F221" s="82">
        <v>0.13</v>
      </c>
      <c r="G221" s="82">
        <v>0.15</v>
      </c>
      <c r="H221" s="82">
        <v>0.19</v>
      </c>
      <c r="I221" s="82">
        <v>0.27</v>
      </c>
      <c r="J221" s="83">
        <v>0</v>
      </c>
    </row>
    <row r="222" spans="1:10" ht="14.55" customHeight="1" x14ac:dyDescent="0.3">
      <c r="A222" s="149" t="s">
        <v>198</v>
      </c>
      <c r="B222" s="85"/>
      <c r="C222" s="82">
        <f t="shared" si="48"/>
        <v>0.89000000000000012</v>
      </c>
      <c r="D222" s="82">
        <v>0.05</v>
      </c>
      <c r="E222" s="86">
        <v>0.09</v>
      </c>
      <c r="F222" s="82">
        <v>0.13</v>
      </c>
      <c r="G222" s="82">
        <v>0.16</v>
      </c>
      <c r="H222" s="82">
        <v>0.19</v>
      </c>
      <c r="I222" s="82">
        <v>0.27</v>
      </c>
      <c r="J222" s="83">
        <v>0</v>
      </c>
    </row>
    <row r="223" spans="1:10" ht="14.55" customHeight="1" x14ac:dyDescent="0.3">
      <c r="A223" s="149" t="s">
        <v>199</v>
      </c>
      <c r="B223" s="85"/>
      <c r="C223" s="82">
        <f t="shared" si="48"/>
        <v>0.91000000000000014</v>
      </c>
      <c r="D223" s="82">
        <v>0.05</v>
      </c>
      <c r="E223" s="86">
        <v>0.09</v>
      </c>
      <c r="F223" s="82">
        <v>0.14000000000000001</v>
      </c>
      <c r="G223" s="82">
        <v>0.16</v>
      </c>
      <c r="H223" s="82">
        <v>0.2</v>
      </c>
      <c r="I223" s="82">
        <v>0.27</v>
      </c>
      <c r="J223" s="83">
        <v>0</v>
      </c>
    </row>
    <row r="224" spans="1:10" ht="14.55" customHeight="1" x14ac:dyDescent="0.3">
      <c r="A224" s="149" t="s">
        <v>200</v>
      </c>
      <c r="B224" s="85"/>
      <c r="C224" s="82">
        <f t="shared" si="48"/>
        <v>0.95000000000000007</v>
      </c>
      <c r="D224" s="82">
        <v>0.06</v>
      </c>
      <c r="E224" s="86">
        <v>0.1</v>
      </c>
      <c r="F224" s="82">
        <v>0.14000000000000001</v>
      </c>
      <c r="G224" s="82">
        <v>0.17</v>
      </c>
      <c r="H224" s="82">
        <v>0.21</v>
      </c>
      <c r="I224" s="82">
        <v>0.27</v>
      </c>
      <c r="J224" s="83">
        <v>0</v>
      </c>
    </row>
    <row r="225" spans="1:10" ht="14.55" customHeight="1" x14ac:dyDescent="0.3">
      <c r="A225" s="149" t="s">
        <v>201</v>
      </c>
      <c r="B225" s="85"/>
      <c r="C225" s="82">
        <f t="shared" si="48"/>
        <v>0.74</v>
      </c>
      <c r="D225" s="82">
        <v>0.06</v>
      </c>
      <c r="E225" s="86">
        <v>0.06</v>
      </c>
      <c r="F225" s="82">
        <v>0.1</v>
      </c>
      <c r="G225" s="82">
        <v>0.14000000000000001</v>
      </c>
      <c r="H225" s="82">
        <v>0.17</v>
      </c>
      <c r="I225" s="82">
        <v>0.21</v>
      </c>
      <c r="J225" s="83">
        <v>0</v>
      </c>
    </row>
    <row r="226" spans="1:10" ht="14.55" customHeight="1" x14ac:dyDescent="0.3">
      <c r="A226" s="149" t="s">
        <v>202</v>
      </c>
      <c r="B226" s="85"/>
      <c r="C226" s="82">
        <f t="shared" si="48"/>
        <v>0.95000000000000007</v>
      </c>
      <c r="D226" s="82">
        <v>0.06</v>
      </c>
      <c r="E226" s="86">
        <v>0.1</v>
      </c>
      <c r="F226" s="82">
        <v>0.14000000000000001</v>
      </c>
      <c r="G226" s="82">
        <v>0.17</v>
      </c>
      <c r="H226" s="82">
        <v>0.21</v>
      </c>
      <c r="I226" s="82">
        <v>0.27</v>
      </c>
      <c r="J226" s="83">
        <v>0</v>
      </c>
    </row>
    <row r="227" spans="1:10" ht="14.55" customHeight="1" x14ac:dyDescent="0.3">
      <c r="A227" s="149" t="s">
        <v>203</v>
      </c>
      <c r="B227" s="85"/>
      <c r="C227" s="82">
        <f t="shared" si="48"/>
        <v>0.95000000000000007</v>
      </c>
      <c r="D227" s="82">
        <v>0.06</v>
      </c>
      <c r="E227" s="86">
        <v>0.1</v>
      </c>
      <c r="F227" s="82">
        <v>0.14000000000000001</v>
      </c>
      <c r="G227" s="82">
        <v>0.17</v>
      </c>
      <c r="H227" s="82">
        <v>0.21</v>
      </c>
      <c r="I227" s="82">
        <v>0.27</v>
      </c>
      <c r="J227" s="83">
        <v>0</v>
      </c>
    </row>
    <row r="228" spans="1:10" ht="14.55" customHeight="1" x14ac:dyDescent="0.3">
      <c r="A228" s="149" t="s">
        <v>204</v>
      </c>
      <c r="B228" s="85"/>
      <c r="C228" s="82">
        <f t="shared" si="48"/>
        <v>0.96</v>
      </c>
      <c r="D228" s="82">
        <v>0.06</v>
      </c>
      <c r="E228" s="86">
        <v>0.1</v>
      </c>
      <c r="F228" s="82">
        <v>0.15</v>
      </c>
      <c r="G228" s="82">
        <v>0.17</v>
      </c>
      <c r="H228" s="82">
        <v>0.21</v>
      </c>
      <c r="I228" s="82">
        <v>0.27</v>
      </c>
      <c r="J228" s="83">
        <v>0</v>
      </c>
    </row>
    <row r="229" spans="1:10" ht="14.55" customHeight="1" x14ac:dyDescent="0.3">
      <c r="A229" s="149" t="s">
        <v>205</v>
      </c>
      <c r="B229" s="85"/>
      <c r="C229" s="82">
        <f t="shared" si="48"/>
        <v>0.97</v>
      </c>
      <c r="D229" s="82">
        <v>0.06</v>
      </c>
      <c r="E229" s="86">
        <v>0.11</v>
      </c>
      <c r="F229" s="82">
        <v>0.15</v>
      </c>
      <c r="G229" s="82">
        <v>0.17</v>
      </c>
      <c r="H229" s="82">
        <v>0.21</v>
      </c>
      <c r="I229" s="82">
        <v>0.27</v>
      </c>
      <c r="J229" s="83">
        <v>0</v>
      </c>
    </row>
    <row r="230" spans="1:10" ht="14.55" customHeight="1" x14ac:dyDescent="0.3">
      <c r="A230" s="149" t="s">
        <v>206</v>
      </c>
      <c r="B230" s="85"/>
      <c r="C230" s="82">
        <f t="shared" si="48"/>
        <v>0.98</v>
      </c>
      <c r="D230" s="82">
        <v>0.06</v>
      </c>
      <c r="E230" s="86">
        <v>0.11</v>
      </c>
      <c r="F230" s="82">
        <v>0.15</v>
      </c>
      <c r="G230" s="82">
        <v>0.17</v>
      </c>
      <c r="H230" s="82">
        <v>0.22</v>
      </c>
      <c r="I230" s="82">
        <v>0.27</v>
      </c>
      <c r="J230" s="83">
        <v>0</v>
      </c>
    </row>
    <row r="231" spans="1:10" ht="14.55" customHeight="1" x14ac:dyDescent="0.3">
      <c r="A231" s="149" t="s">
        <v>207</v>
      </c>
      <c r="B231" s="85"/>
      <c r="C231" s="82">
        <f t="shared" si="48"/>
        <v>0.98</v>
      </c>
      <c r="D231" s="82">
        <v>0.06</v>
      </c>
      <c r="E231" s="86">
        <v>0.11</v>
      </c>
      <c r="F231" s="82">
        <v>0.15</v>
      </c>
      <c r="G231" s="82">
        <v>0.17</v>
      </c>
      <c r="H231" s="82">
        <v>0.22</v>
      </c>
      <c r="I231" s="82">
        <v>0.27</v>
      </c>
      <c r="J231" s="83">
        <v>0</v>
      </c>
    </row>
    <row r="232" spans="1:10" ht="14.55" customHeight="1" x14ac:dyDescent="0.3">
      <c r="A232" s="149" t="s">
        <v>208</v>
      </c>
      <c r="B232" s="85"/>
      <c r="C232" s="82">
        <f t="shared" si="48"/>
        <v>0.99</v>
      </c>
      <c r="D232" s="82">
        <v>0.06</v>
      </c>
      <c r="E232" s="86">
        <v>0.11</v>
      </c>
      <c r="F232" s="82">
        <v>0.15</v>
      </c>
      <c r="G232" s="82">
        <v>0.18</v>
      </c>
      <c r="H232" s="82">
        <v>0.22</v>
      </c>
      <c r="I232" s="82">
        <v>0.27</v>
      </c>
      <c r="J232" s="83">
        <v>0</v>
      </c>
    </row>
    <row r="233" spans="1:10" ht="14.55" customHeight="1" x14ac:dyDescent="0.3">
      <c r="A233" s="149" t="s">
        <v>209</v>
      </c>
      <c r="B233" s="85"/>
      <c r="C233" s="82">
        <f t="shared" si="48"/>
        <v>0.99</v>
      </c>
      <c r="D233" s="82">
        <v>0.06</v>
      </c>
      <c r="E233" s="86">
        <v>0.11</v>
      </c>
      <c r="F233" s="82">
        <v>0.15</v>
      </c>
      <c r="G233" s="82">
        <v>0.18</v>
      </c>
      <c r="H233" s="82">
        <v>0.22</v>
      </c>
      <c r="I233" s="82">
        <v>0.27</v>
      </c>
      <c r="J233" s="83">
        <v>0</v>
      </c>
    </row>
    <row r="234" spans="1:10" ht="14.55" customHeight="1" x14ac:dyDescent="0.3">
      <c r="A234" s="149" t="s">
        <v>210</v>
      </c>
      <c r="B234" s="85"/>
      <c r="C234" s="82">
        <f t="shared" si="48"/>
        <v>0.99</v>
      </c>
      <c r="D234" s="82">
        <v>0.06</v>
      </c>
      <c r="E234" s="86">
        <v>0.11</v>
      </c>
      <c r="F234" s="82">
        <v>0.15</v>
      </c>
      <c r="G234" s="82">
        <v>0.18</v>
      </c>
      <c r="H234" s="82">
        <v>0.22</v>
      </c>
      <c r="I234" s="82">
        <v>0.27</v>
      </c>
      <c r="J234" s="83">
        <v>0</v>
      </c>
    </row>
    <row r="235" spans="1:10" ht="14.55" customHeight="1" x14ac:dyDescent="0.3">
      <c r="A235" s="149" t="s">
        <v>211</v>
      </c>
      <c r="B235" s="85"/>
      <c r="C235" s="82">
        <f t="shared" si="48"/>
        <v>1</v>
      </c>
      <c r="D235" s="82">
        <v>0.06</v>
      </c>
      <c r="E235" s="86">
        <v>0.11</v>
      </c>
      <c r="F235" s="82">
        <v>0.15</v>
      </c>
      <c r="G235" s="82">
        <v>0.18</v>
      </c>
      <c r="H235" s="82">
        <v>0.23</v>
      </c>
      <c r="I235" s="82">
        <v>0.27</v>
      </c>
      <c r="J235" s="83">
        <v>0</v>
      </c>
    </row>
    <row r="236" spans="1:10" ht="14.55" customHeight="1" x14ac:dyDescent="0.3">
      <c r="A236" s="149" t="s">
        <v>212</v>
      </c>
      <c r="B236" s="85"/>
      <c r="C236" s="82">
        <f t="shared" si="48"/>
        <v>1.05</v>
      </c>
      <c r="D236" s="82">
        <v>7.0000000000000007E-2</v>
      </c>
      <c r="E236" s="86">
        <v>0.12</v>
      </c>
      <c r="F236" s="82">
        <v>0.16</v>
      </c>
      <c r="G236" s="82">
        <v>0.19</v>
      </c>
      <c r="H236" s="82">
        <v>0.24</v>
      </c>
      <c r="I236" s="82">
        <v>0.27</v>
      </c>
      <c r="J236" s="83">
        <v>0</v>
      </c>
    </row>
    <row r="237" spans="1:10" ht="14.55" customHeight="1" x14ac:dyDescent="0.3">
      <c r="A237" s="149" t="s">
        <v>213</v>
      </c>
      <c r="B237" s="85"/>
      <c r="C237" s="82">
        <f t="shared" si="48"/>
        <v>1.06</v>
      </c>
      <c r="D237" s="82">
        <v>7.0000000000000007E-2</v>
      </c>
      <c r="E237" s="86">
        <v>0.12</v>
      </c>
      <c r="F237" s="82">
        <v>0.17</v>
      </c>
      <c r="G237" s="82">
        <v>0.19</v>
      </c>
      <c r="H237" s="82">
        <v>0.24</v>
      </c>
      <c r="I237" s="82">
        <v>0.27</v>
      </c>
      <c r="J237" s="83">
        <v>0</v>
      </c>
    </row>
    <row r="238" spans="1:10" ht="14.55" customHeight="1" x14ac:dyDescent="0.3">
      <c r="A238" s="149" t="s">
        <v>214</v>
      </c>
      <c r="B238" s="85"/>
      <c r="C238" s="82">
        <f t="shared" si="48"/>
        <v>1.06</v>
      </c>
      <c r="D238" s="82">
        <v>7.0000000000000007E-2</v>
      </c>
      <c r="E238" s="86">
        <v>0.12</v>
      </c>
      <c r="F238" s="82">
        <v>0.17</v>
      </c>
      <c r="G238" s="82">
        <v>0.19</v>
      </c>
      <c r="H238" s="82">
        <v>0.24</v>
      </c>
      <c r="I238" s="82">
        <v>0.27</v>
      </c>
      <c r="J238" s="83">
        <v>0</v>
      </c>
    </row>
    <row r="239" spans="1:10" ht="14.55" customHeight="1" x14ac:dyDescent="0.3">
      <c r="A239" s="149" t="s">
        <v>215</v>
      </c>
      <c r="B239" s="85"/>
      <c r="C239" s="82">
        <f t="shared" si="48"/>
        <v>1.08</v>
      </c>
      <c r="D239" s="82">
        <v>7.0000000000000007E-2</v>
      </c>
      <c r="E239" s="86">
        <v>0.12</v>
      </c>
      <c r="F239" s="82">
        <v>0.17</v>
      </c>
      <c r="G239" s="82">
        <v>0.2</v>
      </c>
      <c r="H239" s="82">
        <v>0.25</v>
      </c>
      <c r="I239" s="82">
        <v>0.27</v>
      </c>
      <c r="J239" s="83">
        <v>0</v>
      </c>
    </row>
    <row r="240" spans="1:10" ht="14.55" customHeight="1" x14ac:dyDescent="0.3">
      <c r="A240" s="149" t="s">
        <v>216</v>
      </c>
      <c r="B240" s="85"/>
      <c r="C240" s="82">
        <f t="shared" si="48"/>
        <v>1.1000000000000001</v>
      </c>
      <c r="D240" s="82">
        <v>7.0000000000000007E-2</v>
      </c>
      <c r="E240" s="86">
        <v>0.12</v>
      </c>
      <c r="F240" s="82">
        <v>0.18</v>
      </c>
      <c r="G240" s="82">
        <v>0.2</v>
      </c>
      <c r="H240" s="82">
        <v>0.26</v>
      </c>
      <c r="I240" s="82">
        <v>0.27</v>
      </c>
      <c r="J240" s="83">
        <v>0</v>
      </c>
    </row>
    <row r="241" spans="1:10" ht="14.55" customHeight="1" x14ac:dyDescent="0.3">
      <c r="A241" s="149" t="s">
        <v>217</v>
      </c>
      <c r="B241" s="85"/>
      <c r="C241" s="82">
        <f t="shared" si="48"/>
        <v>1.0900000000000001</v>
      </c>
      <c r="D241" s="82">
        <v>7.0000000000000007E-2</v>
      </c>
      <c r="E241" s="86">
        <v>0.13</v>
      </c>
      <c r="F241" s="82">
        <v>0.17</v>
      </c>
      <c r="G241" s="82">
        <v>0.2</v>
      </c>
      <c r="H241" s="82">
        <v>0.25</v>
      </c>
      <c r="I241" s="82">
        <v>0.27</v>
      </c>
      <c r="J241" s="83">
        <v>0</v>
      </c>
    </row>
    <row r="242" spans="1:10" ht="14.55" customHeight="1" x14ac:dyDescent="0.3">
      <c r="A242" s="149" t="s">
        <v>218</v>
      </c>
      <c r="B242" s="85"/>
      <c r="C242" s="82">
        <f t="shared" si="48"/>
        <v>1.0900000000000001</v>
      </c>
      <c r="D242" s="82">
        <v>7.0000000000000007E-2</v>
      </c>
      <c r="E242" s="86">
        <v>0.13</v>
      </c>
      <c r="F242" s="82">
        <v>0.17</v>
      </c>
      <c r="G242" s="82">
        <v>0.2</v>
      </c>
      <c r="H242" s="82">
        <v>0.25</v>
      </c>
      <c r="I242" s="82">
        <v>0.27</v>
      </c>
      <c r="J242" s="83">
        <v>0</v>
      </c>
    </row>
    <row r="243" spans="1:10" ht="14.55" customHeight="1" x14ac:dyDescent="0.3">
      <c r="A243" s="149" t="s">
        <v>219</v>
      </c>
      <c r="B243" s="85"/>
      <c r="C243" s="82">
        <f t="shared" si="48"/>
        <v>1.1000000000000001</v>
      </c>
      <c r="D243" s="82">
        <v>7.0000000000000007E-2</v>
      </c>
      <c r="E243" s="86">
        <v>0.13</v>
      </c>
      <c r="F243" s="82">
        <v>0.18</v>
      </c>
      <c r="G243" s="82">
        <v>0.2</v>
      </c>
      <c r="H243" s="82">
        <v>0.25</v>
      </c>
      <c r="I243" s="82">
        <v>0.27</v>
      </c>
      <c r="J243" s="83">
        <v>0</v>
      </c>
    </row>
    <row r="244" spans="1:10" ht="14.55" customHeight="1" x14ac:dyDescent="0.3">
      <c r="A244" s="149" t="s">
        <v>220</v>
      </c>
      <c r="B244" s="85"/>
      <c r="C244" s="82">
        <f t="shared" si="48"/>
        <v>1.1200000000000001</v>
      </c>
      <c r="D244" s="82">
        <v>7.0000000000000007E-2</v>
      </c>
      <c r="E244" s="86">
        <v>0.13</v>
      </c>
      <c r="F244" s="82">
        <v>0.18</v>
      </c>
      <c r="G244" s="82">
        <v>0.21</v>
      </c>
      <c r="H244" s="82">
        <v>0.26</v>
      </c>
      <c r="I244" s="82">
        <v>0.27</v>
      </c>
      <c r="J244" s="83">
        <v>0</v>
      </c>
    </row>
    <row r="245" spans="1:10" ht="14.55" customHeight="1" x14ac:dyDescent="0.3">
      <c r="A245" s="149" t="s">
        <v>221</v>
      </c>
      <c r="B245" s="85"/>
      <c r="C245" s="82">
        <f t="shared" si="48"/>
        <v>1.1299999999999999</v>
      </c>
      <c r="D245" s="82">
        <v>7.0000000000000007E-2</v>
      </c>
      <c r="E245" s="86">
        <v>0.13</v>
      </c>
      <c r="F245" s="82">
        <v>0.19</v>
      </c>
      <c r="G245" s="82">
        <v>0.21</v>
      </c>
      <c r="H245" s="82">
        <v>0.26</v>
      </c>
      <c r="I245" s="82">
        <v>0.27</v>
      </c>
      <c r="J245" s="83">
        <v>0</v>
      </c>
    </row>
    <row r="246" spans="1:10" ht="14.55" customHeight="1" x14ac:dyDescent="0.3">
      <c r="A246" s="149" t="s">
        <v>222</v>
      </c>
      <c r="B246" s="85"/>
      <c r="C246" s="82">
        <f t="shared" si="48"/>
        <v>1.1400000000000001</v>
      </c>
      <c r="D246" s="82">
        <v>7.0000000000000007E-2</v>
      </c>
      <c r="E246" s="86">
        <v>0.13</v>
      </c>
      <c r="F246" s="82">
        <v>0.19</v>
      </c>
      <c r="G246" s="82">
        <v>0.21</v>
      </c>
      <c r="H246" s="82">
        <v>0.27</v>
      </c>
      <c r="I246" s="82">
        <v>0.27</v>
      </c>
      <c r="J246" s="83">
        <v>0</v>
      </c>
    </row>
    <row r="247" spans="1:10" ht="14.55" customHeight="1" x14ac:dyDescent="0.3">
      <c r="A247" s="149" t="s">
        <v>223</v>
      </c>
      <c r="B247" s="85"/>
      <c r="C247" s="82">
        <f t="shared" si="48"/>
        <v>1.1200000000000001</v>
      </c>
      <c r="D247" s="82">
        <v>7.0000000000000007E-2</v>
      </c>
      <c r="E247" s="86">
        <v>0.13</v>
      </c>
      <c r="F247" s="82">
        <v>0.18</v>
      </c>
      <c r="G247" s="82">
        <v>0.21</v>
      </c>
      <c r="H247" s="82">
        <v>0.26</v>
      </c>
      <c r="I247" s="82">
        <v>0.27</v>
      </c>
      <c r="J247" s="83">
        <v>0</v>
      </c>
    </row>
    <row r="248" spans="1:10" ht="14.55" customHeight="1" x14ac:dyDescent="0.3">
      <c r="A248" s="149" t="s">
        <v>224</v>
      </c>
      <c r="B248" s="85"/>
      <c r="C248" s="82">
        <f t="shared" si="48"/>
        <v>1.1600000000000001</v>
      </c>
      <c r="D248" s="82">
        <v>7.0000000000000007E-2</v>
      </c>
      <c r="E248" s="86">
        <v>0.14000000000000001</v>
      </c>
      <c r="F248" s="82">
        <v>0.19</v>
      </c>
      <c r="G248" s="82">
        <v>0.22</v>
      </c>
      <c r="H248" s="82">
        <v>0.27</v>
      </c>
      <c r="I248" s="82">
        <v>0.27</v>
      </c>
      <c r="J248" s="83">
        <v>0</v>
      </c>
    </row>
    <row r="249" spans="1:10" ht="14.55" customHeight="1" x14ac:dyDescent="0.3">
      <c r="A249" s="149" t="s">
        <v>225</v>
      </c>
      <c r="B249" s="85"/>
      <c r="C249" s="82">
        <f t="shared" si="48"/>
        <v>1.1400000000000001</v>
      </c>
      <c r="D249" s="82">
        <v>7.0000000000000007E-2</v>
      </c>
      <c r="E249" s="86">
        <v>0.14000000000000001</v>
      </c>
      <c r="F249" s="82">
        <v>0.19</v>
      </c>
      <c r="G249" s="82">
        <v>0.21</v>
      </c>
      <c r="H249" s="82">
        <v>0.26</v>
      </c>
      <c r="I249" s="82">
        <v>0.27</v>
      </c>
      <c r="J249" s="83">
        <v>0</v>
      </c>
    </row>
    <row r="250" spans="1:10" ht="14.55" customHeight="1" x14ac:dyDescent="0.3">
      <c r="A250" s="149" t="s">
        <v>226</v>
      </c>
      <c r="B250" s="85"/>
      <c r="C250" s="82">
        <f t="shared" si="48"/>
        <v>1.2000000000000002</v>
      </c>
      <c r="D250" s="82">
        <v>0.1</v>
      </c>
      <c r="E250" s="86">
        <v>0.1</v>
      </c>
      <c r="F250" s="82">
        <v>0.2</v>
      </c>
      <c r="G250" s="82">
        <v>0.2</v>
      </c>
      <c r="H250" s="82">
        <v>0.3</v>
      </c>
      <c r="I250" s="82">
        <v>0.3</v>
      </c>
      <c r="J250" s="83">
        <v>0</v>
      </c>
    </row>
    <row r="251" spans="1:10" ht="14.55" customHeight="1" x14ac:dyDescent="0.3">
      <c r="A251" s="149" t="s">
        <v>227</v>
      </c>
      <c r="B251" s="85"/>
      <c r="C251" s="82">
        <f t="shared" si="48"/>
        <v>1.2000000000000002</v>
      </c>
      <c r="D251" s="82">
        <v>0.1</v>
      </c>
      <c r="E251" s="86">
        <v>0.1</v>
      </c>
      <c r="F251" s="82">
        <v>0.2</v>
      </c>
      <c r="G251" s="82">
        <v>0.2</v>
      </c>
      <c r="H251" s="82">
        <v>0.3</v>
      </c>
      <c r="I251" s="82">
        <v>0.3</v>
      </c>
      <c r="J251" s="83">
        <v>0</v>
      </c>
    </row>
    <row r="252" spans="1:10" ht="14.55" customHeight="1" x14ac:dyDescent="0.3">
      <c r="A252" s="149" t="s">
        <v>228</v>
      </c>
      <c r="B252" s="85"/>
      <c r="C252" s="82">
        <f t="shared" si="48"/>
        <v>1.2000000000000002</v>
      </c>
      <c r="D252" s="82">
        <v>0.1</v>
      </c>
      <c r="E252" s="86">
        <v>0.1</v>
      </c>
      <c r="F252" s="82">
        <v>0.2</v>
      </c>
      <c r="G252" s="82">
        <v>0.2</v>
      </c>
      <c r="H252" s="82">
        <v>0.3</v>
      </c>
      <c r="I252" s="82">
        <v>0.3</v>
      </c>
      <c r="J252" s="83">
        <v>0</v>
      </c>
    </row>
    <row r="253" spans="1:10" ht="14.55" customHeight="1" x14ac:dyDescent="0.3">
      <c r="A253" s="149" t="s">
        <v>229</v>
      </c>
      <c r="B253" s="85"/>
      <c r="C253" s="82">
        <f t="shared" si="48"/>
        <v>1.2000000000000002</v>
      </c>
      <c r="D253" s="82">
        <v>0.1</v>
      </c>
      <c r="E253" s="86">
        <v>0.1</v>
      </c>
      <c r="F253" s="82">
        <v>0.2</v>
      </c>
      <c r="G253" s="82">
        <v>0.2</v>
      </c>
      <c r="H253" s="82">
        <v>0.3</v>
      </c>
      <c r="I253" s="82">
        <v>0.3</v>
      </c>
      <c r="J253" s="83">
        <v>0</v>
      </c>
    </row>
    <row r="254" spans="1:10" ht="14.55" customHeight="1" x14ac:dyDescent="0.3">
      <c r="A254" s="149" t="s">
        <v>230</v>
      </c>
      <c r="B254" s="85"/>
      <c r="C254" s="82">
        <f t="shared" si="48"/>
        <v>1.2000000000000002</v>
      </c>
      <c r="D254" s="82">
        <v>0.1</v>
      </c>
      <c r="E254" s="86">
        <v>0.1</v>
      </c>
      <c r="F254" s="82">
        <v>0.2</v>
      </c>
      <c r="G254" s="82">
        <v>0.2</v>
      </c>
      <c r="H254" s="82">
        <v>0.3</v>
      </c>
      <c r="I254" s="82">
        <v>0.3</v>
      </c>
      <c r="J254" s="83">
        <v>0</v>
      </c>
    </row>
    <row r="255" spans="1:10" ht="14.55" customHeight="1" x14ac:dyDescent="0.3">
      <c r="A255" s="149" t="s">
        <v>231</v>
      </c>
      <c r="B255" s="85"/>
      <c r="C255" s="82">
        <f t="shared" si="48"/>
        <v>1.2000000000000002</v>
      </c>
      <c r="D255" s="82">
        <v>0.1</v>
      </c>
      <c r="E255" s="86">
        <v>0.1</v>
      </c>
      <c r="F255" s="82">
        <v>0.2</v>
      </c>
      <c r="G255" s="82">
        <v>0.2</v>
      </c>
      <c r="H255" s="82">
        <v>0.3</v>
      </c>
      <c r="I255" s="82">
        <v>0.3</v>
      </c>
      <c r="J255" s="83">
        <v>0</v>
      </c>
    </row>
    <row r="256" spans="1:10" ht="14.55" customHeight="1" x14ac:dyDescent="0.3">
      <c r="A256" s="149" t="s">
        <v>232</v>
      </c>
      <c r="B256" s="85"/>
      <c r="C256" s="82">
        <f t="shared" si="48"/>
        <v>1.2000000000000002</v>
      </c>
      <c r="D256" s="82">
        <v>0.1</v>
      </c>
      <c r="E256" s="86">
        <v>0.1</v>
      </c>
      <c r="F256" s="82">
        <v>0.2</v>
      </c>
      <c r="G256" s="82">
        <v>0.2</v>
      </c>
      <c r="H256" s="82">
        <v>0.3</v>
      </c>
      <c r="I256" s="82">
        <v>0.3</v>
      </c>
      <c r="J256" s="83">
        <v>0</v>
      </c>
    </row>
    <row r="257" spans="1:10" ht="14.55" customHeight="1" x14ac:dyDescent="0.3">
      <c r="A257" s="149" t="s">
        <v>233</v>
      </c>
      <c r="B257" s="85"/>
      <c r="C257" s="82">
        <f t="shared" si="48"/>
        <v>1.2000000000000002</v>
      </c>
      <c r="D257" s="82">
        <v>0.1</v>
      </c>
      <c r="E257" s="86">
        <v>0.1</v>
      </c>
      <c r="F257" s="82">
        <v>0.2</v>
      </c>
      <c r="G257" s="82">
        <v>0.2</v>
      </c>
      <c r="H257" s="82">
        <v>0.3</v>
      </c>
      <c r="I257" s="82">
        <v>0.3</v>
      </c>
      <c r="J257" s="83">
        <v>0</v>
      </c>
    </row>
    <row r="258" spans="1:10" ht="14.55" customHeight="1" x14ac:dyDescent="0.3">
      <c r="A258" s="149" t="s">
        <v>234</v>
      </c>
      <c r="B258" s="85"/>
      <c r="C258" s="82">
        <f t="shared" si="48"/>
        <v>1.2000000000000002</v>
      </c>
      <c r="D258" s="82">
        <v>0.1</v>
      </c>
      <c r="E258" s="86">
        <v>0.1</v>
      </c>
      <c r="F258" s="82">
        <v>0.2</v>
      </c>
      <c r="G258" s="82">
        <v>0.2</v>
      </c>
      <c r="H258" s="82">
        <v>0.3</v>
      </c>
      <c r="I258" s="82">
        <v>0.3</v>
      </c>
      <c r="J258" s="83">
        <v>0</v>
      </c>
    </row>
    <row r="259" spans="1:10" ht="14.55" customHeight="1" x14ac:dyDescent="0.3">
      <c r="A259" s="149" t="s">
        <v>235</v>
      </c>
      <c r="B259" s="85"/>
      <c r="C259" s="82">
        <f t="shared" si="48"/>
        <v>1.2000000000000002</v>
      </c>
      <c r="D259" s="82">
        <v>0.1</v>
      </c>
      <c r="E259" s="86">
        <v>0.1</v>
      </c>
      <c r="F259" s="82">
        <v>0.2</v>
      </c>
      <c r="G259" s="82">
        <v>0.2</v>
      </c>
      <c r="H259" s="82">
        <v>0.3</v>
      </c>
      <c r="I259" s="82">
        <v>0.3</v>
      </c>
      <c r="J259" s="83">
        <v>0</v>
      </c>
    </row>
    <row r="260" spans="1:10" ht="14.55" customHeight="1" x14ac:dyDescent="0.3">
      <c r="A260" s="149" t="s">
        <v>236</v>
      </c>
      <c r="B260" s="85"/>
      <c r="C260" s="82">
        <f t="shared" si="48"/>
        <v>1.2000000000000002</v>
      </c>
      <c r="D260" s="82">
        <v>0.1</v>
      </c>
      <c r="E260" s="86">
        <v>0.1</v>
      </c>
      <c r="F260" s="82">
        <v>0.2</v>
      </c>
      <c r="G260" s="82">
        <v>0.2</v>
      </c>
      <c r="H260" s="82">
        <v>0.3</v>
      </c>
      <c r="I260" s="82">
        <v>0.3</v>
      </c>
      <c r="J260" s="83">
        <v>0</v>
      </c>
    </row>
    <row r="261" spans="1:10" ht="14.55" customHeight="1" x14ac:dyDescent="0.3">
      <c r="A261" s="149" t="s">
        <v>237</v>
      </c>
      <c r="B261" s="85"/>
      <c r="C261" s="82">
        <f t="shared" si="48"/>
        <v>1.2000000000000002</v>
      </c>
      <c r="D261" s="82">
        <v>0.1</v>
      </c>
      <c r="E261" s="86">
        <v>0.1</v>
      </c>
      <c r="F261" s="82">
        <v>0.2</v>
      </c>
      <c r="G261" s="82">
        <v>0.2</v>
      </c>
      <c r="H261" s="82">
        <v>0.3</v>
      </c>
      <c r="I261" s="82">
        <v>0.3</v>
      </c>
      <c r="J261" s="83">
        <v>0</v>
      </c>
    </row>
    <row r="262" spans="1:10" ht="14.55" customHeight="1" x14ac:dyDescent="0.3">
      <c r="A262" s="149" t="s">
        <v>238</v>
      </c>
      <c r="B262" s="85"/>
      <c r="C262" s="82">
        <f t="shared" si="48"/>
        <v>1.2000000000000002</v>
      </c>
      <c r="D262" s="82">
        <v>0.1</v>
      </c>
      <c r="E262" s="86">
        <v>0.1</v>
      </c>
      <c r="F262" s="82">
        <v>0.2</v>
      </c>
      <c r="G262" s="82">
        <v>0.2</v>
      </c>
      <c r="H262" s="82">
        <v>0.3</v>
      </c>
      <c r="I262" s="82">
        <v>0.3</v>
      </c>
      <c r="J262" s="83">
        <v>0</v>
      </c>
    </row>
    <row r="263" spans="1:10" ht="14.55" customHeight="1" x14ac:dyDescent="0.3">
      <c r="A263" s="149" t="s">
        <v>239</v>
      </c>
      <c r="B263" s="85"/>
      <c r="C263" s="82">
        <f t="shared" si="48"/>
        <v>1.2</v>
      </c>
      <c r="D263" s="82">
        <v>0.1</v>
      </c>
      <c r="E263" s="86">
        <v>0.2</v>
      </c>
      <c r="F263" s="82">
        <v>0.2</v>
      </c>
      <c r="G263" s="82">
        <v>0.2</v>
      </c>
      <c r="H263" s="82">
        <v>0.3</v>
      </c>
      <c r="I263" s="82">
        <v>0.2</v>
      </c>
      <c r="J263" s="83">
        <v>0</v>
      </c>
    </row>
    <row r="264" spans="1:10" ht="14.55" customHeight="1" x14ac:dyDescent="0.3">
      <c r="A264" s="149" t="s">
        <v>240</v>
      </c>
      <c r="B264" s="85"/>
      <c r="C264" s="82">
        <f t="shared" si="48"/>
        <v>1.3</v>
      </c>
      <c r="D264" s="82">
        <v>0.1</v>
      </c>
      <c r="E264" s="86">
        <v>0.2</v>
      </c>
      <c r="F264" s="82">
        <v>0.3</v>
      </c>
      <c r="G264" s="82">
        <v>0.2</v>
      </c>
      <c r="H264" s="82">
        <v>0.3</v>
      </c>
      <c r="I264" s="82">
        <v>0.2</v>
      </c>
      <c r="J264" s="83">
        <v>0</v>
      </c>
    </row>
    <row r="265" spans="1:10" ht="14.55" customHeight="1" x14ac:dyDescent="0.3">
      <c r="A265" s="149" t="s">
        <v>241</v>
      </c>
      <c r="B265" s="85"/>
      <c r="C265" s="82">
        <f t="shared" si="48"/>
        <v>1.3</v>
      </c>
      <c r="D265" s="82">
        <v>0.1</v>
      </c>
      <c r="E265" s="86">
        <v>0.2</v>
      </c>
      <c r="F265" s="82">
        <v>0.2</v>
      </c>
      <c r="G265" s="82">
        <v>0.3</v>
      </c>
      <c r="H265" s="82">
        <v>0.3</v>
      </c>
      <c r="I265" s="82">
        <v>0.2</v>
      </c>
      <c r="J265" s="83">
        <v>0</v>
      </c>
    </row>
    <row r="266" spans="1:10" ht="14.55" customHeight="1" x14ac:dyDescent="0.3">
      <c r="A266" s="149" t="s">
        <v>242</v>
      </c>
      <c r="B266" s="85"/>
      <c r="C266" s="82">
        <f t="shared" si="48"/>
        <v>1.4000000000000001</v>
      </c>
      <c r="D266" s="82">
        <v>0.1</v>
      </c>
      <c r="E266" s="86">
        <v>0.2</v>
      </c>
      <c r="F266" s="82">
        <v>0.3</v>
      </c>
      <c r="G266" s="82">
        <v>0.3</v>
      </c>
      <c r="H266" s="82">
        <v>0.3</v>
      </c>
      <c r="I266" s="82">
        <v>0.2</v>
      </c>
      <c r="J266" s="83">
        <v>0</v>
      </c>
    </row>
    <row r="267" spans="1:10" ht="14.55" customHeight="1" x14ac:dyDescent="0.3">
      <c r="A267" s="149" t="s">
        <v>243</v>
      </c>
      <c r="B267" s="85"/>
      <c r="C267" s="82">
        <f t="shared" si="48"/>
        <v>1.3</v>
      </c>
      <c r="D267" s="82">
        <v>0.1</v>
      </c>
      <c r="E267" s="86">
        <v>0.1</v>
      </c>
      <c r="F267" s="82">
        <v>0.3</v>
      </c>
      <c r="G267" s="82">
        <v>0.3</v>
      </c>
      <c r="H267" s="82">
        <v>0.3</v>
      </c>
      <c r="I267" s="82">
        <v>0.2</v>
      </c>
      <c r="J267" s="83">
        <v>0</v>
      </c>
    </row>
    <row r="268" spans="1:10" ht="14.55" customHeight="1" x14ac:dyDescent="0.3">
      <c r="A268" s="149" t="s">
        <v>244</v>
      </c>
      <c r="B268" s="85"/>
      <c r="C268" s="82">
        <f>SUM(D268:J268)</f>
        <v>1.38</v>
      </c>
      <c r="D268" s="82">
        <v>0.08</v>
      </c>
      <c r="E268" s="86">
        <v>0.1</v>
      </c>
      <c r="F268" s="82">
        <v>0.2</v>
      </c>
      <c r="G268" s="82">
        <v>0.3</v>
      </c>
      <c r="H268" s="82">
        <v>0.3</v>
      </c>
      <c r="I268" s="82">
        <v>0.4</v>
      </c>
      <c r="J268" s="83">
        <v>0</v>
      </c>
    </row>
    <row r="269" spans="1:10" ht="14.55" customHeight="1" x14ac:dyDescent="0.3">
      <c r="A269" s="149" t="s">
        <v>140</v>
      </c>
      <c r="B269" s="85"/>
      <c r="C269" s="82">
        <v>1.5</v>
      </c>
      <c r="D269" s="82">
        <v>0.1</v>
      </c>
      <c r="E269" s="86">
        <v>0.1</v>
      </c>
      <c r="F269" s="82">
        <v>0.1</v>
      </c>
      <c r="G269" s="82">
        <v>0.2</v>
      </c>
      <c r="H269" s="82">
        <v>0.3</v>
      </c>
      <c r="I269" s="82">
        <v>0.3</v>
      </c>
      <c r="J269" s="83">
        <v>0</v>
      </c>
    </row>
    <row r="270" spans="1:10" ht="14.55" customHeight="1" x14ac:dyDescent="0.3">
      <c r="A270" s="149" t="s">
        <v>141</v>
      </c>
      <c r="B270" s="85"/>
      <c r="C270" s="82">
        <v>1.4</v>
      </c>
      <c r="D270" s="82">
        <v>7.0000000000000007E-2</v>
      </c>
      <c r="E270" s="86">
        <v>0.08</v>
      </c>
      <c r="F270" s="82">
        <v>0.2</v>
      </c>
      <c r="G270" s="82">
        <v>0.3</v>
      </c>
      <c r="H270" s="82">
        <v>0.3</v>
      </c>
      <c r="I270" s="82">
        <v>0.4</v>
      </c>
      <c r="J270" s="83">
        <v>0</v>
      </c>
    </row>
    <row r="271" spans="1:10" ht="14.55" customHeight="1" x14ac:dyDescent="0.3">
      <c r="A271" s="149" t="s">
        <v>142</v>
      </c>
      <c r="B271" s="85"/>
      <c r="C271" s="82">
        <v>1.4</v>
      </c>
      <c r="D271" s="82">
        <v>7.0000000000000007E-2</v>
      </c>
      <c r="E271" s="86">
        <v>0.08</v>
      </c>
      <c r="F271" s="82">
        <v>0.2</v>
      </c>
      <c r="G271" s="82">
        <v>0.3</v>
      </c>
      <c r="H271" s="82">
        <v>0.3</v>
      </c>
      <c r="I271" s="82">
        <v>0.3</v>
      </c>
      <c r="J271" s="83">
        <v>0</v>
      </c>
    </row>
    <row r="272" spans="1:10" ht="14.55" customHeight="1" x14ac:dyDescent="0.3">
      <c r="A272" s="149" t="s">
        <v>143</v>
      </c>
      <c r="B272" s="85"/>
      <c r="C272" s="82">
        <v>1.6</v>
      </c>
      <c r="D272" s="82">
        <v>0.1</v>
      </c>
      <c r="E272" s="86">
        <v>0.1</v>
      </c>
      <c r="F272" s="82">
        <v>0.2</v>
      </c>
      <c r="G272" s="82">
        <v>0.3</v>
      </c>
      <c r="H272" s="82">
        <v>0.3</v>
      </c>
      <c r="I272" s="82">
        <v>0.4</v>
      </c>
      <c r="J272" s="83">
        <v>0</v>
      </c>
    </row>
    <row r="273" spans="1:10" ht="14.55" customHeight="1" x14ac:dyDescent="0.3">
      <c r="A273" s="149" t="s">
        <v>144</v>
      </c>
      <c r="B273" s="85"/>
      <c r="C273" s="82">
        <v>1.5</v>
      </c>
      <c r="D273" s="82">
        <v>0.08</v>
      </c>
      <c r="E273" s="86">
        <v>0.09</v>
      </c>
      <c r="F273" s="82">
        <v>0.2</v>
      </c>
      <c r="G273" s="82">
        <v>0.3</v>
      </c>
      <c r="H273" s="82">
        <v>0.3</v>
      </c>
      <c r="I273" s="82">
        <v>0.4</v>
      </c>
      <c r="J273" s="83">
        <v>0</v>
      </c>
    </row>
    <row r="274" spans="1:10" ht="14.55" customHeight="1" x14ac:dyDescent="0.3">
      <c r="A274" s="149" t="s">
        <v>145</v>
      </c>
      <c r="B274" s="85"/>
      <c r="C274" s="82">
        <v>1.5</v>
      </c>
      <c r="D274" s="82">
        <v>0.1</v>
      </c>
      <c r="E274" s="86">
        <v>0.1</v>
      </c>
      <c r="F274" s="82">
        <v>0.2</v>
      </c>
      <c r="G274" s="82">
        <v>0.3</v>
      </c>
      <c r="H274" s="82">
        <v>0.3</v>
      </c>
      <c r="I274" s="82">
        <v>0.4</v>
      </c>
      <c r="J274" s="83">
        <v>0</v>
      </c>
    </row>
    <row r="275" spans="1:10" ht="14.55" customHeight="1" x14ac:dyDescent="0.3">
      <c r="A275" s="149" t="s">
        <v>146</v>
      </c>
      <c r="B275" s="85"/>
      <c r="C275" s="82">
        <v>1.5</v>
      </c>
      <c r="D275" s="82">
        <v>0.1</v>
      </c>
      <c r="E275" s="86">
        <v>0.1</v>
      </c>
      <c r="F275" s="82">
        <v>0.2</v>
      </c>
      <c r="G275" s="82">
        <v>0.3</v>
      </c>
      <c r="H275" s="82">
        <v>0.3</v>
      </c>
      <c r="I275" s="82">
        <v>0.4</v>
      </c>
      <c r="J275" s="83">
        <v>0</v>
      </c>
    </row>
    <row r="276" spans="1:10" ht="14.55" customHeight="1" x14ac:dyDescent="0.3">
      <c r="A276" s="149" t="s">
        <v>147</v>
      </c>
      <c r="B276" s="85"/>
      <c r="C276" s="82">
        <v>1.5</v>
      </c>
      <c r="D276" s="82">
        <v>0.1</v>
      </c>
      <c r="E276" s="86">
        <v>0.1</v>
      </c>
      <c r="F276" s="82">
        <v>0.2</v>
      </c>
      <c r="G276" s="82">
        <v>0.3</v>
      </c>
      <c r="H276" s="82">
        <v>0.3</v>
      </c>
      <c r="I276" s="82">
        <v>0.4</v>
      </c>
      <c r="J276" s="83">
        <v>0</v>
      </c>
    </row>
    <row r="277" spans="1:10" ht="14.55" customHeight="1" x14ac:dyDescent="0.3">
      <c r="A277" s="149" t="s">
        <v>148</v>
      </c>
      <c r="B277" s="85"/>
      <c r="C277" s="82">
        <v>1.6</v>
      </c>
      <c r="D277" s="82">
        <v>0.1</v>
      </c>
      <c r="E277" s="86">
        <v>0.2</v>
      </c>
      <c r="F277" s="82">
        <v>0.2</v>
      </c>
      <c r="G277" s="82">
        <v>0.3</v>
      </c>
      <c r="H277" s="82">
        <v>0.3</v>
      </c>
      <c r="I277" s="82">
        <v>0.4</v>
      </c>
      <c r="J277" s="83">
        <v>0</v>
      </c>
    </row>
    <row r="278" spans="1:10" ht="14.55" customHeight="1" x14ac:dyDescent="0.3">
      <c r="A278" s="149" t="s">
        <v>149</v>
      </c>
      <c r="B278" s="85"/>
      <c r="C278" s="82">
        <v>1.5</v>
      </c>
      <c r="D278" s="82">
        <v>0.1</v>
      </c>
      <c r="E278" s="86">
        <v>0.1</v>
      </c>
      <c r="F278" s="82">
        <v>0.2</v>
      </c>
      <c r="G278" s="82">
        <v>0.3</v>
      </c>
      <c r="H278" s="82">
        <v>0.3</v>
      </c>
      <c r="I278" s="82">
        <v>0.4</v>
      </c>
      <c r="J278" s="83">
        <v>0</v>
      </c>
    </row>
    <row r="279" spans="1:10" ht="14.55" customHeight="1" x14ac:dyDescent="0.3">
      <c r="A279" s="149" t="s">
        <v>150</v>
      </c>
      <c r="B279" s="85"/>
      <c r="C279" s="82">
        <v>1.49</v>
      </c>
      <c r="D279" s="82">
        <v>0.08</v>
      </c>
      <c r="E279" s="86">
        <v>0.1</v>
      </c>
      <c r="F279" s="82">
        <v>0.21</v>
      </c>
      <c r="G279" s="82">
        <v>0.31</v>
      </c>
      <c r="H279" s="82">
        <v>0.32</v>
      </c>
      <c r="I279" s="82">
        <v>0.41</v>
      </c>
      <c r="J279" s="83">
        <v>0</v>
      </c>
    </row>
    <row r="280" spans="1:10" ht="14.55" customHeight="1" x14ac:dyDescent="0.3">
      <c r="A280" s="149" t="s">
        <v>151</v>
      </c>
      <c r="B280" s="85"/>
      <c r="C280" s="82">
        <v>1.6</v>
      </c>
      <c r="D280" s="82">
        <v>0.1</v>
      </c>
      <c r="E280" s="86">
        <v>0.1</v>
      </c>
      <c r="F280" s="82">
        <v>0.2</v>
      </c>
      <c r="G280" s="82">
        <v>0.3</v>
      </c>
      <c r="H280" s="82">
        <v>0.3</v>
      </c>
      <c r="I280" s="82">
        <v>0.4</v>
      </c>
      <c r="J280" s="83">
        <v>0</v>
      </c>
    </row>
    <row r="281" spans="1:10" ht="14.55" customHeight="1" x14ac:dyDescent="0.3">
      <c r="A281" s="149" t="s">
        <v>152</v>
      </c>
      <c r="B281" s="85"/>
      <c r="C281" s="82">
        <v>1.6</v>
      </c>
      <c r="D281" s="82">
        <v>0.1</v>
      </c>
      <c r="E281" s="86">
        <v>0.1</v>
      </c>
      <c r="F281" s="82">
        <v>0.2</v>
      </c>
      <c r="G281" s="82">
        <v>0.3</v>
      </c>
      <c r="H281" s="82">
        <v>0.3</v>
      </c>
      <c r="I281" s="82">
        <v>0.4</v>
      </c>
      <c r="J281" s="83">
        <v>0</v>
      </c>
    </row>
    <row r="282" spans="1:10" ht="14.55" customHeight="1" x14ac:dyDescent="0.3">
      <c r="A282" s="149" t="s">
        <v>153</v>
      </c>
      <c r="B282" s="85"/>
      <c r="C282" s="82">
        <v>1.6</v>
      </c>
      <c r="D282" s="82">
        <v>0.09</v>
      </c>
      <c r="E282" s="86">
        <v>0.09</v>
      </c>
      <c r="F282" s="82">
        <v>0.2</v>
      </c>
      <c r="G282" s="82">
        <v>0.3</v>
      </c>
      <c r="H282" s="82">
        <v>0.3</v>
      </c>
      <c r="I282" s="82">
        <v>0.4</v>
      </c>
      <c r="J282" s="83">
        <v>0</v>
      </c>
    </row>
    <row r="283" spans="1:10" ht="14.55" customHeight="1" x14ac:dyDescent="0.3">
      <c r="A283" s="149" t="s">
        <v>154</v>
      </c>
      <c r="B283" s="85"/>
      <c r="C283" s="82">
        <v>1.6</v>
      </c>
      <c r="D283" s="82">
        <v>0.1</v>
      </c>
      <c r="E283" s="86">
        <v>0.1</v>
      </c>
      <c r="F283" s="82">
        <v>0.2</v>
      </c>
      <c r="G283" s="82">
        <v>0.3</v>
      </c>
      <c r="H283" s="82">
        <v>0.3</v>
      </c>
      <c r="I283" s="82">
        <v>0.4</v>
      </c>
      <c r="J283" s="83">
        <v>0</v>
      </c>
    </row>
    <row r="284" spans="1:10" ht="14.55" customHeight="1" x14ac:dyDescent="0.3">
      <c r="A284" s="149" t="s">
        <v>155</v>
      </c>
      <c r="B284" s="85"/>
      <c r="C284" s="82">
        <v>1.5</v>
      </c>
      <c r="D284" s="82">
        <v>0.1</v>
      </c>
      <c r="E284" s="86">
        <v>0.1</v>
      </c>
      <c r="F284" s="82">
        <v>0.2</v>
      </c>
      <c r="G284" s="82">
        <v>0.3</v>
      </c>
      <c r="H284" s="82">
        <v>0.3</v>
      </c>
      <c r="I284" s="82">
        <v>0.4</v>
      </c>
      <c r="J284" s="83">
        <v>0</v>
      </c>
    </row>
    <row r="285" spans="1:10" ht="14.55" customHeight="1" x14ac:dyDescent="0.3">
      <c r="A285" s="149" t="s">
        <v>156</v>
      </c>
      <c r="B285" s="85"/>
      <c r="C285" s="82">
        <v>1.5</v>
      </c>
      <c r="D285" s="82">
        <v>0.1</v>
      </c>
      <c r="E285" s="86">
        <v>0.1</v>
      </c>
      <c r="F285" s="82">
        <v>0.2</v>
      </c>
      <c r="G285" s="82">
        <v>0.3</v>
      </c>
      <c r="H285" s="82">
        <v>0.3</v>
      </c>
      <c r="I285" s="82">
        <v>0.4</v>
      </c>
      <c r="J285" s="83">
        <v>0</v>
      </c>
    </row>
    <row r="286" spans="1:10" ht="14.55" customHeight="1" x14ac:dyDescent="0.3">
      <c r="A286" s="149" t="s">
        <v>157</v>
      </c>
      <c r="B286" s="85"/>
      <c r="C286" s="82">
        <v>1.5</v>
      </c>
      <c r="D286" s="82">
        <v>0.1</v>
      </c>
      <c r="E286" s="86">
        <v>0.1</v>
      </c>
      <c r="F286" s="82">
        <v>0.2</v>
      </c>
      <c r="G286" s="82">
        <v>0.3</v>
      </c>
      <c r="H286" s="82">
        <v>0.3</v>
      </c>
      <c r="I286" s="82">
        <v>0.4</v>
      </c>
      <c r="J286" s="83">
        <v>0</v>
      </c>
    </row>
    <row r="287" spans="1:10" ht="14.55" customHeight="1" x14ac:dyDescent="0.3">
      <c r="A287" s="149" t="s">
        <v>158</v>
      </c>
      <c r="B287" s="85"/>
      <c r="C287" s="82">
        <v>1.5</v>
      </c>
      <c r="D287" s="82">
        <v>0.1</v>
      </c>
      <c r="E287" s="86">
        <v>0.1</v>
      </c>
      <c r="F287" s="82">
        <v>0.2</v>
      </c>
      <c r="G287" s="82">
        <v>0.3</v>
      </c>
      <c r="H287" s="82">
        <v>0.3</v>
      </c>
      <c r="I287" s="82">
        <v>0.4</v>
      </c>
      <c r="J287" s="83">
        <v>0</v>
      </c>
    </row>
    <row r="288" spans="1:10" ht="14.55" customHeight="1" x14ac:dyDescent="0.3">
      <c r="A288" s="149" t="s">
        <v>159</v>
      </c>
      <c r="B288" s="85"/>
      <c r="C288" s="82">
        <v>1.6744061600000002</v>
      </c>
      <c r="D288" s="82">
        <v>8.5967000000000002E-2</v>
      </c>
      <c r="E288" s="86">
        <v>9.2230160000000005E-2</v>
      </c>
      <c r="F288" s="82">
        <v>0.21998960000000001</v>
      </c>
      <c r="G288" s="82">
        <v>0.36411850000000001</v>
      </c>
      <c r="H288" s="82">
        <v>0.37128540000000004</v>
      </c>
      <c r="I288" s="82">
        <v>0.46399299999999999</v>
      </c>
      <c r="J288" s="83">
        <v>0</v>
      </c>
    </row>
    <row r="289" spans="1:10" ht="14.55" customHeight="1" x14ac:dyDescent="0.3">
      <c r="A289" s="149" t="s">
        <v>160</v>
      </c>
      <c r="B289" s="85"/>
      <c r="C289" s="82">
        <v>1.6795585599999998</v>
      </c>
      <c r="D289" s="82">
        <v>8.5969130000000005E-2</v>
      </c>
      <c r="E289" s="86">
        <v>9.2234280000000002E-2</v>
      </c>
      <c r="F289" s="82">
        <v>0.22116354999999999</v>
      </c>
      <c r="G289" s="82">
        <v>0.3663766</v>
      </c>
      <c r="H289" s="82">
        <v>0.371475</v>
      </c>
      <c r="I289" s="82">
        <v>0.46560049999999997</v>
      </c>
      <c r="J289" s="83">
        <v>0</v>
      </c>
    </row>
    <row r="290" spans="1:10" ht="14.55" customHeight="1" x14ac:dyDescent="0.3">
      <c r="A290" s="149" t="s">
        <v>161</v>
      </c>
      <c r="B290" s="85"/>
      <c r="C290" s="82">
        <v>1.6577394599999999</v>
      </c>
      <c r="D290" s="82">
        <v>8.6045130000000011E-2</v>
      </c>
      <c r="E290" s="86">
        <v>9.231528E-2</v>
      </c>
      <c r="F290" s="82">
        <v>0.22134935</v>
      </c>
      <c r="G290" s="82">
        <v>0.36820059999999999</v>
      </c>
      <c r="H290" s="82">
        <v>0.3735696</v>
      </c>
      <c r="I290" s="82">
        <v>0.46524549999999998</v>
      </c>
      <c r="J290" s="83">
        <v>0</v>
      </c>
    </row>
    <row r="291" spans="1:10" ht="14.55" customHeight="1" x14ac:dyDescent="0.3">
      <c r="A291" s="149" t="s">
        <v>162</v>
      </c>
      <c r="B291" s="85"/>
      <c r="C291" s="82">
        <v>1.6662120900000001</v>
      </c>
      <c r="D291" s="82">
        <v>8.6096600000000009E-2</v>
      </c>
      <c r="E291" s="86">
        <v>9.236134E-2</v>
      </c>
      <c r="F291" s="82">
        <v>0.22309725</v>
      </c>
      <c r="G291" s="82">
        <v>0.37032470000000001</v>
      </c>
      <c r="H291" s="82">
        <v>0.37600120000000004</v>
      </c>
      <c r="I291" s="82">
        <v>0.46932499999999999</v>
      </c>
      <c r="J291" s="83">
        <v>0</v>
      </c>
    </row>
    <row r="292" spans="1:10" ht="14.55" customHeight="1" x14ac:dyDescent="0.3">
      <c r="A292" s="149" t="s">
        <v>163</v>
      </c>
      <c r="B292" s="85"/>
      <c r="C292" s="82">
        <v>1.7017581900000001</v>
      </c>
      <c r="D292" s="82">
        <v>8.7224599999999999E-2</v>
      </c>
      <c r="E292" s="86">
        <v>9.2967339999999996E-2</v>
      </c>
      <c r="F292" s="82">
        <v>0.22650224999999999</v>
      </c>
      <c r="G292" s="82">
        <v>0.37872790000000001</v>
      </c>
      <c r="H292" s="82">
        <v>0.38631759999999998</v>
      </c>
      <c r="I292" s="82">
        <v>0.48101250000000001</v>
      </c>
      <c r="J292" s="83">
        <v>0</v>
      </c>
    </row>
    <row r="293" spans="1:10" ht="14.55" customHeight="1" x14ac:dyDescent="0.3">
      <c r="A293" s="149" t="s">
        <v>164</v>
      </c>
      <c r="B293" s="85"/>
      <c r="C293" s="82">
        <v>1.70549244</v>
      </c>
      <c r="D293" s="82">
        <v>8.72256E-2</v>
      </c>
      <c r="E293" s="86">
        <v>9.3121339999999997E-2</v>
      </c>
      <c r="F293" s="82">
        <v>0.227107</v>
      </c>
      <c r="G293" s="82">
        <v>0.38042159999999997</v>
      </c>
      <c r="H293" s="82">
        <v>0.38760740000000005</v>
      </c>
      <c r="I293" s="82">
        <v>0.48100349999999997</v>
      </c>
      <c r="J293" s="83">
        <v>0</v>
      </c>
    </row>
    <row r="294" spans="1:10" ht="14.55" customHeight="1" x14ac:dyDescent="0.3">
      <c r="A294" s="149" t="s">
        <v>165</v>
      </c>
      <c r="B294" s="85"/>
      <c r="C294" s="82">
        <v>1.6849087400000002</v>
      </c>
      <c r="D294" s="82">
        <v>8.7227600000000002E-2</v>
      </c>
      <c r="E294" s="86">
        <v>9.3125340000000001E-2</v>
      </c>
      <c r="F294" s="82">
        <v>0.22750699999999999</v>
      </c>
      <c r="G294" s="82">
        <v>0.38252159999999996</v>
      </c>
      <c r="H294" s="82">
        <v>0.38882520000000004</v>
      </c>
      <c r="I294" s="82">
        <v>0.4823035</v>
      </c>
      <c r="J294" s="83">
        <v>0</v>
      </c>
    </row>
    <row r="295" spans="1:10" ht="14.55" customHeight="1" x14ac:dyDescent="0.3">
      <c r="A295" s="149" t="s">
        <v>166</v>
      </c>
      <c r="B295" s="85"/>
      <c r="C295" s="82">
        <v>1.7114082400000001</v>
      </c>
      <c r="D295" s="82">
        <v>8.7453600000000006E-2</v>
      </c>
      <c r="E295" s="86">
        <v>9.3802339999999998E-2</v>
      </c>
      <c r="F295" s="82">
        <v>0.23071</v>
      </c>
      <c r="G295" s="82">
        <v>0.3916789</v>
      </c>
      <c r="H295" s="82">
        <v>0.39886740000000004</v>
      </c>
      <c r="I295" s="82">
        <v>0.4861975</v>
      </c>
      <c r="J295" s="83">
        <v>0</v>
      </c>
    </row>
    <row r="296" spans="1:10" ht="14.55" customHeight="1" x14ac:dyDescent="0.3">
      <c r="A296" s="149" t="s">
        <v>167</v>
      </c>
      <c r="B296" s="85"/>
      <c r="C296" s="82">
        <v>1.6982728730900232</v>
      </c>
      <c r="D296" s="82">
        <v>8.745760000000001E-2</v>
      </c>
      <c r="E296" s="86">
        <v>9.3810339999999992E-2</v>
      </c>
      <c r="F296" s="82">
        <v>0.2</v>
      </c>
      <c r="G296" s="82">
        <v>0.39064153309002303</v>
      </c>
      <c r="H296" s="82">
        <v>0.40886740000000005</v>
      </c>
      <c r="I296" s="82">
        <v>0.4947975</v>
      </c>
      <c r="J296" s="83">
        <v>0</v>
      </c>
    </row>
    <row r="297" spans="1:10" ht="14.55" customHeight="1" x14ac:dyDescent="0.3">
      <c r="A297" s="149" t="s">
        <v>168</v>
      </c>
      <c r="B297" s="85"/>
      <c r="C297" s="82">
        <v>1.7000000000000002</v>
      </c>
      <c r="D297" s="82">
        <v>0.1</v>
      </c>
      <c r="E297" s="86">
        <v>0.1</v>
      </c>
      <c r="F297" s="82">
        <v>0.2</v>
      </c>
      <c r="G297" s="82">
        <v>0.4</v>
      </c>
      <c r="H297" s="82">
        <v>0.4</v>
      </c>
      <c r="I297" s="82">
        <v>0.4</v>
      </c>
      <c r="J297" s="83">
        <v>0</v>
      </c>
    </row>
    <row r="298" spans="1:10" ht="14.55" customHeight="1" x14ac:dyDescent="0.3">
      <c r="A298" s="149" t="s">
        <v>169</v>
      </c>
      <c r="B298" s="85"/>
      <c r="C298" s="82">
        <v>1.7233257200000001</v>
      </c>
      <c r="D298" s="82">
        <v>8.7611600000000012E-2</v>
      </c>
      <c r="E298" s="86">
        <v>9.4268320000000003E-2</v>
      </c>
      <c r="F298" s="82">
        <v>0.23410710000000001</v>
      </c>
      <c r="G298" s="82">
        <v>0.40239970000000003</v>
      </c>
      <c r="H298" s="82">
        <v>0.41070499999999999</v>
      </c>
      <c r="I298" s="82">
        <v>0.49423400000000001</v>
      </c>
      <c r="J298" s="83">
        <v>0</v>
      </c>
    </row>
    <row r="299" spans="1:10" ht="14.55" customHeight="1" x14ac:dyDescent="0.3">
      <c r="A299" s="149" t="s">
        <v>170</v>
      </c>
      <c r="B299" s="85"/>
      <c r="C299" s="82">
        <v>1.72191406</v>
      </c>
      <c r="D299" s="82">
        <v>8.7688550000000004E-2</v>
      </c>
      <c r="E299" s="86">
        <v>9.4272259999999997E-2</v>
      </c>
      <c r="F299" s="82">
        <v>0.23483014999999999</v>
      </c>
      <c r="G299" s="82">
        <v>0.3996517</v>
      </c>
      <c r="H299" s="82">
        <v>0.41170639999999997</v>
      </c>
      <c r="I299" s="82">
        <v>0.49376500000000001</v>
      </c>
      <c r="J299" s="83">
        <v>0</v>
      </c>
    </row>
    <row r="300" spans="1:10" ht="14.55" customHeight="1" x14ac:dyDescent="0.3">
      <c r="A300" s="149" t="s">
        <v>171</v>
      </c>
      <c r="B300" s="85"/>
      <c r="C300" s="82">
        <v>1.7502191100000002</v>
      </c>
      <c r="D300" s="82">
        <v>8.7691549999999993E-2</v>
      </c>
      <c r="E300" s="86">
        <v>9.4276260000000001E-2</v>
      </c>
      <c r="F300" s="82">
        <v>0.23783509999999999</v>
      </c>
      <c r="G300" s="82">
        <v>0.4106514</v>
      </c>
      <c r="H300" s="82">
        <v>0.42320479999999999</v>
      </c>
      <c r="I300" s="82">
        <v>0.49656</v>
      </c>
      <c r="J300" s="83">
        <v>0</v>
      </c>
    </row>
    <row r="301" spans="1:10" ht="14.55" customHeight="1" x14ac:dyDescent="0.3">
      <c r="A301" s="149" t="s">
        <v>172</v>
      </c>
      <c r="B301" s="85"/>
      <c r="C301" s="82">
        <f t="shared" ref="C301:C332" si="49">SUM(D301:J301)</f>
        <v>1.7000000000000002</v>
      </c>
      <c r="D301" s="82">
        <v>0.1</v>
      </c>
      <c r="E301" s="86">
        <v>0.1</v>
      </c>
      <c r="F301" s="82">
        <v>0.2</v>
      </c>
      <c r="G301" s="82">
        <v>0.4</v>
      </c>
      <c r="H301" s="82">
        <v>0.4</v>
      </c>
      <c r="I301" s="82">
        <v>0.5</v>
      </c>
      <c r="J301" s="83">
        <v>0</v>
      </c>
    </row>
    <row r="302" spans="1:10" ht="14.55" customHeight="1" x14ac:dyDescent="0.3">
      <c r="A302" s="149" t="s">
        <v>173</v>
      </c>
      <c r="B302" s="85"/>
      <c r="C302" s="82">
        <f t="shared" si="49"/>
        <v>1.764637</v>
      </c>
      <c r="D302" s="82">
        <v>8.7694999999999995E-2</v>
      </c>
      <c r="E302" s="86">
        <v>9.4507999999999995E-2</v>
      </c>
      <c r="F302" s="82">
        <v>0.24123900000000001</v>
      </c>
      <c r="G302" s="82">
        <v>0.41571799999999998</v>
      </c>
      <c r="H302" s="82">
        <v>0.42538700000000002</v>
      </c>
      <c r="I302" s="82">
        <v>0.50009000000000003</v>
      </c>
      <c r="J302" s="83">
        <v>0</v>
      </c>
    </row>
    <row r="303" spans="1:10" ht="14.55" customHeight="1" x14ac:dyDescent="0.3">
      <c r="A303" s="149" t="s">
        <v>174</v>
      </c>
      <c r="B303" s="85"/>
      <c r="C303" s="82">
        <f t="shared" si="49"/>
        <v>1.7726220000000001</v>
      </c>
      <c r="D303" s="82">
        <v>8.7771000000000002E-2</v>
      </c>
      <c r="E303" s="86">
        <v>9.4585000000000002E-2</v>
      </c>
      <c r="F303" s="82">
        <v>0.241841</v>
      </c>
      <c r="G303" s="82">
        <v>0.42079100000000003</v>
      </c>
      <c r="H303" s="82">
        <v>0.42727599999999999</v>
      </c>
      <c r="I303" s="82">
        <v>0.50035799999999997</v>
      </c>
      <c r="J303" s="83">
        <v>0</v>
      </c>
    </row>
    <row r="304" spans="1:10" ht="14.55" customHeight="1" x14ac:dyDescent="0.3">
      <c r="A304" s="149" t="s">
        <v>175</v>
      </c>
      <c r="B304" s="85"/>
      <c r="C304" s="82">
        <f t="shared" si="49"/>
        <v>1.8060630299999998</v>
      </c>
      <c r="D304" s="82">
        <v>8.7848229999999999E-2</v>
      </c>
      <c r="E304" s="86">
        <v>9.4663600000000001E-2</v>
      </c>
      <c r="F304" s="82">
        <v>0.2426355</v>
      </c>
      <c r="G304" s="82">
        <v>0.4277647</v>
      </c>
      <c r="H304" s="82">
        <v>0.43423699999999998</v>
      </c>
      <c r="I304" s="82">
        <v>0.51891399999999999</v>
      </c>
      <c r="J304" s="83">
        <v>0</v>
      </c>
    </row>
    <row r="305" spans="1:10" ht="14.55" customHeight="1" x14ac:dyDescent="0.3">
      <c r="A305" s="149" t="s">
        <v>176</v>
      </c>
      <c r="B305" s="85"/>
      <c r="C305" s="82">
        <f t="shared" si="49"/>
        <v>1.8179723999999999</v>
      </c>
      <c r="D305" s="82">
        <v>8.8374960000000002E-2</v>
      </c>
      <c r="E305" s="86">
        <v>9.5717140000000006E-2</v>
      </c>
      <c r="F305" s="82">
        <v>0.24443429999999999</v>
      </c>
      <c r="G305" s="82">
        <v>0.4289558</v>
      </c>
      <c r="H305" s="82">
        <v>0.44050319999999998</v>
      </c>
      <c r="I305" s="82">
        <v>0.51998699999999998</v>
      </c>
      <c r="J305" s="83">
        <v>0</v>
      </c>
    </row>
    <row r="306" spans="1:10" ht="14.55" customHeight="1" x14ac:dyDescent="0.3">
      <c r="A306" s="149" t="s">
        <v>177</v>
      </c>
      <c r="B306" s="85"/>
      <c r="C306" s="82">
        <f t="shared" si="49"/>
        <v>1.8179723999999999</v>
      </c>
      <c r="D306" s="82">
        <v>8.8374960000000002E-2</v>
      </c>
      <c r="E306" s="86">
        <v>9.5717140000000006E-2</v>
      </c>
      <c r="F306" s="82">
        <v>0.24443429999999999</v>
      </c>
      <c r="G306" s="82">
        <v>0.4289558</v>
      </c>
      <c r="H306" s="82">
        <v>0.44050319999999998</v>
      </c>
      <c r="I306" s="82">
        <v>0.51998699999999998</v>
      </c>
      <c r="J306" s="83">
        <v>0</v>
      </c>
    </row>
    <row r="307" spans="1:10" ht="14.55" customHeight="1" x14ac:dyDescent="0.3">
      <c r="A307" s="149" t="s">
        <v>178</v>
      </c>
      <c r="B307" s="85"/>
      <c r="C307" s="82">
        <f t="shared" si="49"/>
        <v>1.8521376000000001</v>
      </c>
      <c r="D307" s="82">
        <v>8.8370599999999994E-2</v>
      </c>
      <c r="E307" s="86">
        <v>9.5727000000000007E-2</v>
      </c>
      <c r="F307" s="82">
        <v>0.24823300000000001</v>
      </c>
      <c r="G307" s="82">
        <v>0.44362499999999999</v>
      </c>
      <c r="H307" s="82">
        <v>0.455154</v>
      </c>
      <c r="I307" s="82">
        <v>0.52102800000000005</v>
      </c>
      <c r="J307" s="83">
        <v>0</v>
      </c>
    </row>
    <row r="308" spans="1:10" ht="14.55" customHeight="1" x14ac:dyDescent="0.3">
      <c r="A308" s="149" t="s">
        <v>179</v>
      </c>
      <c r="B308" s="85"/>
      <c r="C308" s="82">
        <f t="shared" si="49"/>
        <v>1.8924140600000001</v>
      </c>
      <c r="D308" s="82">
        <v>8.8377059999999993E-2</v>
      </c>
      <c r="E308" s="86">
        <v>9.5732999999999999E-2</v>
      </c>
      <c r="F308" s="82">
        <v>0.25123099999999998</v>
      </c>
      <c r="G308" s="82">
        <v>0.45364500000000002</v>
      </c>
      <c r="H308" s="82">
        <v>0.46262500000000001</v>
      </c>
      <c r="I308" s="82">
        <v>0.54080300000000003</v>
      </c>
      <c r="J308" s="83">
        <v>0</v>
      </c>
    </row>
    <row r="309" spans="1:10" ht="14.55" customHeight="1" x14ac:dyDescent="0.3">
      <c r="A309" s="149" t="s">
        <v>180</v>
      </c>
      <c r="B309" s="85"/>
      <c r="C309" s="82">
        <f t="shared" si="49"/>
        <v>1.8989290599999999</v>
      </c>
      <c r="D309" s="82">
        <v>8.8377059999999993E-2</v>
      </c>
      <c r="E309" s="86">
        <v>9.5741000000000007E-2</v>
      </c>
      <c r="F309" s="82">
        <v>0.25162699999999999</v>
      </c>
      <c r="G309" s="82">
        <v>0.45519399999999999</v>
      </c>
      <c r="H309" s="82">
        <v>0.46481600000000001</v>
      </c>
      <c r="I309" s="82">
        <v>0.54317400000000005</v>
      </c>
      <c r="J309" s="83">
        <v>0</v>
      </c>
    </row>
    <row r="310" spans="1:10" ht="14.55" customHeight="1" x14ac:dyDescent="0.3">
      <c r="A310" s="149" t="s">
        <v>181</v>
      </c>
      <c r="B310" s="85"/>
      <c r="C310" s="82">
        <f t="shared" si="49"/>
        <v>1.9085310600000001</v>
      </c>
      <c r="D310" s="82">
        <v>8.8527060000000005E-2</v>
      </c>
      <c r="E310" s="86">
        <v>9.5896999999999996E-2</v>
      </c>
      <c r="F310" s="82">
        <v>0.25302599999999997</v>
      </c>
      <c r="G310" s="82">
        <v>0.45858900000000002</v>
      </c>
      <c r="H310" s="82">
        <v>0.46652700000000003</v>
      </c>
      <c r="I310" s="82">
        <v>0.54596500000000003</v>
      </c>
      <c r="J310" s="83">
        <v>0</v>
      </c>
    </row>
    <row r="311" spans="1:10" ht="14.55" customHeight="1" x14ac:dyDescent="0.3">
      <c r="A311" s="149" t="s">
        <v>182</v>
      </c>
      <c r="B311" s="85"/>
      <c r="C311" s="82">
        <f t="shared" si="49"/>
        <v>1.9365716000000002</v>
      </c>
      <c r="D311" s="82">
        <v>8.8527060000000005E-2</v>
      </c>
      <c r="E311" s="86">
        <v>9.5901139999999996E-2</v>
      </c>
      <c r="F311" s="82">
        <v>0.25540990000000002</v>
      </c>
      <c r="G311" s="82">
        <v>0.46535260000000001</v>
      </c>
      <c r="H311" s="82">
        <v>0.47249540000000001</v>
      </c>
      <c r="I311" s="82">
        <v>0.55888550000000004</v>
      </c>
      <c r="J311" s="83">
        <v>0</v>
      </c>
    </row>
    <row r="312" spans="1:10" ht="14.55" customHeight="1" x14ac:dyDescent="0.3">
      <c r="A312" s="149" t="s">
        <v>183</v>
      </c>
      <c r="B312" s="85"/>
      <c r="C312" s="82">
        <f t="shared" si="49"/>
        <v>1.9656815999999999</v>
      </c>
      <c r="D312" s="82">
        <v>8.8677060000000002E-2</v>
      </c>
      <c r="E312" s="86">
        <v>9.6061140000000003E-2</v>
      </c>
      <c r="F312" s="82">
        <v>0.25620989999999999</v>
      </c>
      <c r="G312" s="82">
        <v>0.47225260000000002</v>
      </c>
      <c r="H312" s="82">
        <v>0.48139539999999997</v>
      </c>
      <c r="I312" s="82">
        <v>0.57108550000000002</v>
      </c>
      <c r="J312" s="83">
        <v>0</v>
      </c>
    </row>
    <row r="313" spans="1:10" ht="14.55" customHeight="1" x14ac:dyDescent="0.3">
      <c r="A313" s="149" t="s">
        <v>184</v>
      </c>
      <c r="B313" s="85"/>
      <c r="C313" s="82">
        <f t="shared" si="49"/>
        <v>1.9624529000000002</v>
      </c>
      <c r="D313" s="82">
        <v>8.8677060000000002E-2</v>
      </c>
      <c r="E313" s="86">
        <v>9.6061140000000003E-2</v>
      </c>
      <c r="F313" s="82">
        <v>0.25720939999999998</v>
      </c>
      <c r="G313" s="82">
        <v>0.47209980000000001</v>
      </c>
      <c r="H313" s="82">
        <v>0.47984100000000002</v>
      </c>
      <c r="I313" s="82">
        <v>0.56856450000000003</v>
      </c>
      <c r="J313" s="83">
        <v>0</v>
      </c>
    </row>
    <row r="314" spans="1:10" ht="14.55" customHeight="1" x14ac:dyDescent="0.3">
      <c r="A314" s="149" t="s">
        <v>185</v>
      </c>
      <c r="B314" s="85"/>
      <c r="C314" s="82">
        <f t="shared" si="49"/>
        <v>1.9720092</v>
      </c>
      <c r="D314" s="82">
        <v>8.8677060000000002E-2</v>
      </c>
      <c r="E314" s="86">
        <v>9.6063140000000005E-2</v>
      </c>
      <c r="F314" s="82">
        <v>0.2590094</v>
      </c>
      <c r="G314" s="82">
        <v>0.47423969999999999</v>
      </c>
      <c r="H314" s="82">
        <v>0.4816764</v>
      </c>
      <c r="I314" s="82">
        <v>0.57234350000000001</v>
      </c>
      <c r="J314" s="83">
        <v>0</v>
      </c>
    </row>
    <row r="315" spans="1:10" ht="14.55" customHeight="1" x14ac:dyDescent="0.3">
      <c r="A315" s="149" t="s">
        <v>186</v>
      </c>
      <c r="B315" s="85"/>
      <c r="C315" s="82">
        <f t="shared" si="49"/>
        <v>1.9993822899999998</v>
      </c>
      <c r="D315" s="82">
        <v>8.8752059999999994E-2</v>
      </c>
      <c r="E315" s="86">
        <v>9.6140080000000003E-2</v>
      </c>
      <c r="F315" s="82">
        <v>0.26141314999999998</v>
      </c>
      <c r="G315" s="82">
        <v>0.48107</v>
      </c>
      <c r="H315" s="82">
        <v>0.49093399999999998</v>
      </c>
      <c r="I315" s="82">
        <v>0.58107299999999995</v>
      </c>
      <c r="J315" s="83">
        <v>0</v>
      </c>
    </row>
    <row r="316" spans="1:10" ht="14.55" customHeight="1" x14ac:dyDescent="0.3">
      <c r="A316" s="149" t="s">
        <v>187</v>
      </c>
      <c r="B316" s="85"/>
      <c r="C316" s="82">
        <f t="shared" si="49"/>
        <v>2.0366504000000001</v>
      </c>
      <c r="D316" s="82">
        <v>8.8754059999999996E-2</v>
      </c>
      <c r="E316" s="86">
        <v>9.614404E-2</v>
      </c>
      <c r="F316" s="82">
        <v>0.26380789999999998</v>
      </c>
      <c r="G316" s="82">
        <v>0.48750130000000003</v>
      </c>
      <c r="H316" s="82">
        <v>0.50273760000000001</v>
      </c>
      <c r="I316" s="82">
        <v>0.5977055</v>
      </c>
      <c r="J316" s="83">
        <v>0</v>
      </c>
    </row>
    <row r="317" spans="1:10" ht="14.55" customHeight="1" x14ac:dyDescent="0.3">
      <c r="A317" s="149" t="s">
        <v>138</v>
      </c>
      <c r="B317" s="85"/>
      <c r="C317" s="82">
        <f t="shared" si="49"/>
        <v>2.0366429799999999</v>
      </c>
      <c r="D317" s="82">
        <v>8.8829950000000005E-2</v>
      </c>
      <c r="E317" s="86">
        <v>9.6221879999999996E-2</v>
      </c>
      <c r="F317" s="82">
        <v>0.26521175000000002</v>
      </c>
      <c r="G317" s="82">
        <v>0.48888559999999998</v>
      </c>
      <c r="H317" s="82">
        <v>0.5003128</v>
      </c>
      <c r="I317" s="82">
        <v>0.59718099999999996</v>
      </c>
      <c r="J317" s="83">
        <v>0</v>
      </c>
    </row>
    <row r="318" spans="1:10" ht="14.55" customHeight="1" x14ac:dyDescent="0.3">
      <c r="A318" s="149" t="s">
        <v>137</v>
      </c>
      <c r="B318" s="85"/>
      <c r="C318" s="82">
        <f t="shared" si="49"/>
        <v>2.0553100899999999</v>
      </c>
      <c r="D318" s="82">
        <v>8.8984880000000002E-2</v>
      </c>
      <c r="E318" s="82">
        <v>9.6302860000000004E-2</v>
      </c>
      <c r="F318" s="82">
        <v>0.26714674999999999</v>
      </c>
      <c r="G318" s="82">
        <v>0.49280299999999999</v>
      </c>
      <c r="H318" s="82">
        <v>0.50407760000000001</v>
      </c>
      <c r="I318" s="82">
        <v>0.60599499999999995</v>
      </c>
      <c r="J318" s="83">
        <v>0</v>
      </c>
    </row>
    <row r="319" spans="1:10" ht="14.55" customHeight="1" x14ac:dyDescent="0.3">
      <c r="A319" s="149" t="s">
        <v>136</v>
      </c>
      <c r="B319" s="85"/>
      <c r="C319" s="82">
        <f t="shared" si="49"/>
        <v>2.0921546200000001</v>
      </c>
      <c r="D319" s="82">
        <v>8.9061849999999998E-2</v>
      </c>
      <c r="E319" s="86">
        <v>9.6383819999999995E-2</v>
      </c>
      <c r="F319" s="82">
        <v>0.26812164999999999</v>
      </c>
      <c r="G319" s="82">
        <v>0.50084090000000003</v>
      </c>
      <c r="H319" s="82">
        <v>0.51674940000000003</v>
      </c>
      <c r="I319" s="82">
        <v>0.62099700000000002</v>
      </c>
      <c r="J319" s="83">
        <v>0</v>
      </c>
    </row>
    <row r="320" spans="1:10" ht="15" customHeight="1" x14ac:dyDescent="0.3">
      <c r="A320" s="149" t="s">
        <v>139</v>
      </c>
      <c r="B320" s="85"/>
      <c r="C320" s="82">
        <f t="shared" si="49"/>
        <v>2.1255272700000001</v>
      </c>
      <c r="D320" s="82">
        <v>8.9213749999999994E-2</v>
      </c>
      <c r="E320" s="86">
        <v>9.6537620000000005E-2</v>
      </c>
      <c r="F320" s="82">
        <v>0.2717175</v>
      </c>
      <c r="G320" s="82">
        <v>0.51561869999999999</v>
      </c>
      <c r="H320" s="82">
        <v>0.5270492</v>
      </c>
      <c r="I320" s="82">
        <v>0.62539049999999996</v>
      </c>
      <c r="J320" s="83">
        <v>0</v>
      </c>
    </row>
    <row r="321" spans="1:10" ht="15" customHeight="1" x14ac:dyDescent="0.3">
      <c r="A321" s="149" t="s">
        <v>135</v>
      </c>
      <c r="B321" s="85"/>
      <c r="C321" s="82">
        <f t="shared" si="49"/>
        <v>2.1303318500000001</v>
      </c>
      <c r="D321" s="82">
        <v>8.9215489999999995E-2</v>
      </c>
      <c r="E321" s="86">
        <v>9.6542059999999999E-2</v>
      </c>
      <c r="F321" s="82">
        <v>0.27135680000000001</v>
      </c>
      <c r="G321" s="82">
        <v>0.51855010000000001</v>
      </c>
      <c r="H321" s="82">
        <v>0.52880740000000004</v>
      </c>
      <c r="I321" s="82">
        <v>0.62585999999999997</v>
      </c>
      <c r="J321" s="83">
        <v>0</v>
      </c>
    </row>
    <row r="322" spans="1:10" ht="15" customHeight="1" x14ac:dyDescent="0.3">
      <c r="A322" s="149" t="s">
        <v>132</v>
      </c>
      <c r="B322" s="85"/>
      <c r="C322" s="82">
        <f t="shared" si="49"/>
        <v>2.1385683599999998</v>
      </c>
      <c r="D322" s="82">
        <v>8.9291819999999994E-2</v>
      </c>
      <c r="E322" s="86">
        <v>9.6620739999999997E-2</v>
      </c>
      <c r="F322" s="82">
        <v>0.27170680000000003</v>
      </c>
      <c r="G322" s="82">
        <v>0.52310230000000002</v>
      </c>
      <c r="H322" s="82">
        <v>0.53093420000000002</v>
      </c>
      <c r="I322" s="82">
        <v>0.62691249999999998</v>
      </c>
      <c r="J322" s="83">
        <v>0</v>
      </c>
    </row>
    <row r="323" spans="1:10" ht="15" customHeight="1" x14ac:dyDescent="0.3">
      <c r="A323" s="149" t="s">
        <v>133</v>
      </c>
      <c r="B323" s="85"/>
      <c r="C323" s="82">
        <f t="shared" si="49"/>
        <v>2.2861530299999999</v>
      </c>
      <c r="D323" s="82">
        <v>8.9193579999999995E-2</v>
      </c>
      <c r="E323" s="86">
        <v>9.6549200000000002E-2</v>
      </c>
      <c r="F323" s="82">
        <f>0.26290135+0.009245</f>
        <v>0.27214634999999998</v>
      </c>
      <c r="G323" s="82">
        <f>0.4813209+0.032098</f>
        <v>0.51341890000000001</v>
      </c>
      <c r="H323" s="82">
        <f>0.473972+0.048884</f>
        <v>0.52285599999999999</v>
      </c>
      <c r="I323" s="82">
        <f>0.554009+0.07974</f>
        <v>0.63374900000000001</v>
      </c>
      <c r="J323" s="83">
        <v>0.15823999999999999</v>
      </c>
    </row>
    <row r="324" spans="1:10" ht="15" customHeight="1" x14ac:dyDescent="0.3">
      <c r="A324" s="149" t="s">
        <v>134</v>
      </c>
      <c r="B324" s="85"/>
      <c r="C324" s="82">
        <f t="shared" si="49"/>
        <v>2.6804434499999998</v>
      </c>
      <c r="D324" s="82">
        <v>8.8986850000000006E-2</v>
      </c>
      <c r="E324" s="86">
        <v>9.6221399999999999E-2</v>
      </c>
      <c r="F324" s="82">
        <f>0.01909+0.2551385</f>
        <v>0.27422849999999999</v>
      </c>
      <c r="G324" s="82">
        <f>0.106528+0.4395712</f>
        <v>0.54609920000000001</v>
      </c>
      <c r="H324" s="82">
        <f>0.133776+0.422878</f>
        <v>0.55665399999999998</v>
      </c>
      <c r="I324" s="82">
        <f>0.1375365+0.497677</f>
        <v>0.63521349999999999</v>
      </c>
      <c r="J324" s="83">
        <v>0.48304000000000002</v>
      </c>
    </row>
    <row r="325" spans="1:10" ht="15" customHeight="1" x14ac:dyDescent="0.3">
      <c r="A325" s="149" t="s">
        <v>101</v>
      </c>
      <c r="B325" s="85"/>
      <c r="C325" s="82">
        <f t="shared" si="49"/>
        <v>2.81923513</v>
      </c>
      <c r="D325" s="82">
        <v>8.8975819999999997E-2</v>
      </c>
      <c r="E325" s="86">
        <v>9.6200759999999996E-2</v>
      </c>
      <c r="F325" s="82">
        <f>0.25495805+0.02159</f>
        <v>0.27654804999999999</v>
      </c>
      <c r="G325" s="82">
        <f>0.4384082+0.122936</f>
        <v>0.56134420000000007</v>
      </c>
      <c r="H325" s="82">
        <f>0.4214018+0.168336</f>
        <v>0.58973779999999998</v>
      </c>
      <c r="I325" s="82">
        <f>0.496077+0.1943115</f>
        <v>0.69038849999999996</v>
      </c>
      <c r="J325" s="83">
        <v>0.51604000000000005</v>
      </c>
    </row>
    <row r="326" spans="1:10" ht="15" customHeight="1" x14ac:dyDescent="0.3">
      <c r="A326" s="149" t="s">
        <v>102</v>
      </c>
      <c r="B326" s="85"/>
      <c r="C326" s="82">
        <f t="shared" si="49"/>
        <v>2.9699255600000001</v>
      </c>
      <c r="D326" s="82">
        <v>8.8974750000000005E-2</v>
      </c>
      <c r="E326" s="86">
        <v>9.6198859999999997E-2</v>
      </c>
      <c r="F326" s="82">
        <f>0.02409+0.25491065</f>
        <v>0.27900065000000002</v>
      </c>
      <c r="G326" s="82">
        <f>0.135336+0.4380864</f>
        <v>0.5734224</v>
      </c>
      <c r="H326" s="82">
        <f>0.190736+0.4209454</f>
        <v>0.61168140000000004</v>
      </c>
      <c r="I326" s="82">
        <f>0.2402115+0.495396</f>
        <v>0.73560749999999997</v>
      </c>
      <c r="J326" s="83">
        <v>0.58504</v>
      </c>
    </row>
    <row r="327" spans="1:10" ht="15" customHeight="1" x14ac:dyDescent="0.3">
      <c r="A327" s="149" t="s">
        <v>103</v>
      </c>
      <c r="B327" s="85"/>
      <c r="C327" s="82">
        <f t="shared" si="49"/>
        <v>3.1222798300000001</v>
      </c>
      <c r="D327" s="82">
        <v>9.3744270000000005E-2</v>
      </c>
      <c r="E327" s="86">
        <v>0.10182156000000001</v>
      </c>
      <c r="F327" s="82">
        <v>0.28257179999999998</v>
      </c>
      <c r="G327" s="82">
        <v>0.58590500000000001</v>
      </c>
      <c r="H327" s="82">
        <v>0.63350320000000004</v>
      </c>
      <c r="I327" s="82">
        <v>0.78159400000000001</v>
      </c>
      <c r="J327" s="83">
        <v>0.64314000000000004</v>
      </c>
    </row>
    <row r="328" spans="1:10" ht="15" customHeight="1" x14ac:dyDescent="0.3">
      <c r="A328" s="149" t="s">
        <v>104</v>
      </c>
      <c r="B328" s="85"/>
      <c r="C328" s="82">
        <f t="shared" si="49"/>
        <v>3.2205128500000004</v>
      </c>
      <c r="D328" s="82">
        <v>9.3741660000000004E-2</v>
      </c>
      <c r="E328" s="86">
        <v>0.10181643999999999</v>
      </c>
      <c r="F328" s="82">
        <v>0.28572795000000001</v>
      </c>
      <c r="G328" s="82">
        <v>0.59524889999999997</v>
      </c>
      <c r="H328" s="82">
        <v>0.64870740000000005</v>
      </c>
      <c r="I328" s="82">
        <v>0.8099305</v>
      </c>
      <c r="J328" s="83">
        <v>0.68533999999999995</v>
      </c>
    </row>
    <row r="329" spans="1:10" ht="15" customHeight="1" x14ac:dyDescent="0.3">
      <c r="A329" s="149" t="s">
        <v>105</v>
      </c>
      <c r="B329" s="85"/>
      <c r="C329" s="82">
        <f t="shared" si="49"/>
        <v>3.2809209099999999</v>
      </c>
      <c r="D329" s="82">
        <v>9.3741249999999998E-2</v>
      </c>
      <c r="E329" s="86">
        <v>0.10181566</v>
      </c>
      <c r="F329" s="82">
        <v>0.28721370000000002</v>
      </c>
      <c r="G329" s="82">
        <v>0.60034909999999997</v>
      </c>
      <c r="H329" s="82">
        <v>0.66073219999999999</v>
      </c>
      <c r="I329" s="82">
        <v>0.83136900000000002</v>
      </c>
      <c r="J329" s="83">
        <v>0.70569999999999999</v>
      </c>
    </row>
    <row r="330" spans="1:10" ht="15" customHeight="1" x14ac:dyDescent="0.3">
      <c r="A330" s="149" t="s">
        <v>106</v>
      </c>
      <c r="B330" s="85"/>
      <c r="C330" s="82">
        <f t="shared" si="49"/>
        <v>3.3663560000000001</v>
      </c>
      <c r="D330" s="82">
        <v>9.3741210000000005E-2</v>
      </c>
      <c r="E330" s="86">
        <v>0.10181543999999999</v>
      </c>
      <c r="F330" s="82">
        <v>0.28952665</v>
      </c>
      <c r="G330" s="82">
        <v>0.61353849999999999</v>
      </c>
      <c r="H330" s="82">
        <v>0.68069820000000003</v>
      </c>
      <c r="I330" s="82">
        <v>0.85783600000000004</v>
      </c>
      <c r="J330" s="83">
        <v>0.72919999999999996</v>
      </c>
    </row>
    <row r="331" spans="1:10" ht="15" customHeight="1" x14ac:dyDescent="0.3">
      <c r="A331" s="149" t="s">
        <v>107</v>
      </c>
      <c r="B331" s="85"/>
      <c r="C331" s="82">
        <f t="shared" si="49"/>
        <v>3.4396622699999999</v>
      </c>
      <c r="D331" s="82">
        <v>9.3740489999999996E-2</v>
      </c>
      <c r="E331" s="86">
        <v>0.10181408</v>
      </c>
      <c r="F331" s="82">
        <v>0.29226799999999997</v>
      </c>
      <c r="G331" s="82">
        <v>0.62228349999999999</v>
      </c>
      <c r="H331" s="82">
        <v>0.69213820000000004</v>
      </c>
      <c r="I331" s="82">
        <v>0.87667600000000001</v>
      </c>
      <c r="J331" s="83">
        <v>0.76074200000000003</v>
      </c>
    </row>
    <row r="332" spans="1:10" ht="15" customHeight="1" x14ac:dyDescent="0.3">
      <c r="A332" s="149" t="s">
        <v>108</v>
      </c>
      <c r="B332" s="85"/>
      <c r="C332" s="82">
        <f t="shared" si="49"/>
        <v>3.5790621300000001</v>
      </c>
      <c r="D332" s="82">
        <v>9.3740119999999996E-2</v>
      </c>
      <c r="E332" s="86">
        <v>0.10181326</v>
      </c>
      <c r="F332" s="82">
        <v>0.29454645000000002</v>
      </c>
      <c r="G332" s="82">
        <v>0.63375870000000001</v>
      </c>
      <c r="H332" s="82">
        <v>0.71497860000000002</v>
      </c>
      <c r="I332" s="82">
        <v>0.91734300000000002</v>
      </c>
      <c r="J332" s="83">
        <v>0.822882</v>
      </c>
    </row>
    <row r="333" spans="1:10" ht="15" customHeight="1" x14ac:dyDescent="0.3">
      <c r="A333" s="149" t="s">
        <v>109</v>
      </c>
      <c r="B333" s="85"/>
      <c r="C333" s="82">
        <v>3.6878354799999999</v>
      </c>
      <c r="D333" s="82">
        <v>9.3718469999999998E-2</v>
      </c>
      <c r="E333" s="86">
        <v>0.10179286</v>
      </c>
      <c r="F333" s="82">
        <v>0.29727684999999998</v>
      </c>
      <c r="G333" s="82">
        <v>0.6439049</v>
      </c>
      <c r="H333" s="82">
        <v>0.72776940000000001</v>
      </c>
      <c r="I333" s="82">
        <v>0.94788899999999998</v>
      </c>
      <c r="J333" s="83">
        <v>0.87548400000000004</v>
      </c>
    </row>
    <row r="334" spans="1:10" ht="15" customHeight="1" x14ac:dyDescent="0.3">
      <c r="A334" s="149" t="s">
        <v>110</v>
      </c>
      <c r="B334" s="85"/>
      <c r="C334" s="82">
        <v>3.7575477399999997</v>
      </c>
      <c r="D334" s="82">
        <v>9.3718449999999995E-2</v>
      </c>
      <c r="E334" s="86">
        <v>0.10179284</v>
      </c>
      <c r="F334" s="82">
        <v>0.30000294999999999</v>
      </c>
      <c r="G334" s="82">
        <v>0.65348980000000001</v>
      </c>
      <c r="H334" s="82">
        <v>0.74230119999999999</v>
      </c>
      <c r="I334" s="82">
        <v>0.9584085</v>
      </c>
      <c r="J334" s="83">
        <v>0.90783400000000003</v>
      </c>
    </row>
    <row r="335" spans="1:10" ht="15" customHeight="1" x14ac:dyDescent="0.3">
      <c r="A335" s="149" t="s">
        <v>111</v>
      </c>
      <c r="B335" s="85"/>
      <c r="C335" s="82">
        <v>3.8498434700000002</v>
      </c>
      <c r="D335" s="82">
        <v>9.3718449999999995E-2</v>
      </c>
      <c r="E335" s="86">
        <v>0.10179282000000001</v>
      </c>
      <c r="F335" s="82">
        <v>0.30175550000000001</v>
      </c>
      <c r="G335" s="82">
        <v>0.66233569999999997</v>
      </c>
      <c r="H335" s="82">
        <v>0.75839299999999998</v>
      </c>
      <c r="I335" s="82">
        <v>0.97750099999999995</v>
      </c>
      <c r="J335" s="83">
        <v>0.95434699999999995</v>
      </c>
    </row>
    <row r="336" spans="1:10" ht="15" customHeight="1" x14ac:dyDescent="0.3">
      <c r="A336" s="149" t="s">
        <v>112</v>
      </c>
      <c r="B336" s="85"/>
      <c r="C336" s="82">
        <v>3.9542843400000001</v>
      </c>
      <c r="D336" s="82">
        <v>9.371823E-2</v>
      </c>
      <c r="E336" s="86">
        <v>0.10179236</v>
      </c>
      <c r="F336" s="82">
        <v>0.30377195000000001</v>
      </c>
      <c r="G336" s="82">
        <v>0.67176400000000003</v>
      </c>
      <c r="H336" s="82">
        <v>0.77474880000000002</v>
      </c>
      <c r="I336" s="82">
        <v>1.000783</v>
      </c>
      <c r="J336" s="83">
        <v>1.007706</v>
      </c>
    </row>
    <row r="337" spans="1:16384" ht="15" customHeight="1" x14ac:dyDescent="0.3">
      <c r="A337" s="149" t="s">
        <v>113</v>
      </c>
      <c r="B337" s="85"/>
      <c r="C337" s="82">
        <f t="shared" ref="C337:C348" si="50">SUM(D337:J337)</f>
        <v>4.0205576399999998</v>
      </c>
      <c r="D337" s="82">
        <v>9.3718049999999997E-2</v>
      </c>
      <c r="E337" s="86">
        <v>0.10179204</v>
      </c>
      <c r="F337" s="82">
        <v>0.30576575</v>
      </c>
      <c r="G337" s="82">
        <v>0.68052280000000009</v>
      </c>
      <c r="H337" s="82">
        <v>0.78747699999999998</v>
      </c>
      <c r="I337" s="82">
        <v>1.018818</v>
      </c>
      <c r="J337" s="83">
        <v>1.032464</v>
      </c>
    </row>
    <row r="338" spans="1:16384" ht="15" customHeight="1" x14ac:dyDescent="0.3">
      <c r="A338" s="149" t="s">
        <v>114</v>
      </c>
      <c r="B338" s="85"/>
      <c r="C338" s="82">
        <f t="shared" si="50"/>
        <v>4.1123834700000002</v>
      </c>
      <c r="D338" s="82">
        <v>9.3709749999999994E-2</v>
      </c>
      <c r="E338" s="86">
        <v>0.10178122000000001</v>
      </c>
      <c r="F338" s="82">
        <v>0.3107394</v>
      </c>
      <c r="G338" s="82">
        <v>0.69889400000000002</v>
      </c>
      <c r="H338" s="82">
        <v>0.79704560000000002</v>
      </c>
      <c r="I338" s="82">
        <v>1.0249055</v>
      </c>
      <c r="J338" s="83">
        <v>1.0853079999999999</v>
      </c>
    </row>
    <row r="339" spans="1:16384" ht="15" customHeight="1" x14ac:dyDescent="0.3">
      <c r="A339" s="149" t="s">
        <v>115</v>
      </c>
      <c r="B339" s="85"/>
      <c r="C339" s="82">
        <f t="shared" si="50"/>
        <v>4.2753151200000001</v>
      </c>
      <c r="D339" s="82">
        <v>9.3709749999999994E-2</v>
      </c>
      <c r="E339" s="86">
        <v>0.10178122000000001</v>
      </c>
      <c r="F339" s="82">
        <v>0.31398844999999997</v>
      </c>
      <c r="G339" s="82">
        <v>0.70527799999999996</v>
      </c>
      <c r="H339" s="82">
        <v>0.81814220000000004</v>
      </c>
      <c r="I339" s="82">
        <v>1.0704985</v>
      </c>
      <c r="J339" s="83">
        <v>1.1719170000000001</v>
      </c>
    </row>
    <row r="340" spans="1:16384" ht="15" customHeight="1" x14ac:dyDescent="0.3">
      <c r="A340" s="149" t="s">
        <v>116</v>
      </c>
      <c r="B340" s="85"/>
      <c r="C340" s="82">
        <f t="shared" si="50"/>
        <v>4.3407004699999998</v>
      </c>
      <c r="D340" s="82">
        <v>9.3709669999999995E-2</v>
      </c>
      <c r="E340" s="86">
        <v>0.1017811</v>
      </c>
      <c r="F340" s="82">
        <v>0.31545770000000001</v>
      </c>
      <c r="G340" s="82">
        <v>0.71396590000000004</v>
      </c>
      <c r="H340" s="82">
        <v>0.83917459999999999</v>
      </c>
      <c r="I340" s="82">
        <v>1.1004745</v>
      </c>
      <c r="J340" s="83">
        <v>1.176137</v>
      </c>
    </row>
    <row r="341" spans="1:16384" ht="15" customHeight="1" x14ac:dyDescent="0.3">
      <c r="A341" s="149" t="s">
        <v>117</v>
      </c>
      <c r="B341" s="85"/>
      <c r="C341" s="82">
        <f t="shared" si="50"/>
        <v>4.36911834</v>
      </c>
      <c r="D341" s="82">
        <v>9.3709650000000005E-2</v>
      </c>
      <c r="E341" s="86">
        <v>0.10178104</v>
      </c>
      <c r="F341" s="82">
        <v>0.31669845000000002</v>
      </c>
      <c r="G341" s="82">
        <v>0.72071680000000005</v>
      </c>
      <c r="H341" s="82">
        <v>0.84862040000000005</v>
      </c>
      <c r="I341" s="82">
        <v>1.0977129999999999</v>
      </c>
      <c r="J341" s="83">
        <v>1.1898789999999999</v>
      </c>
      <c r="K341" s="98"/>
      <c r="L341" s="85"/>
      <c r="M341" s="82"/>
      <c r="N341" s="82"/>
      <c r="O341" s="86"/>
      <c r="P341" s="82"/>
      <c r="Q341" s="82"/>
      <c r="R341" s="82"/>
      <c r="S341" s="82"/>
      <c r="T341" s="83"/>
      <c r="U341" s="98"/>
      <c r="V341" s="85"/>
      <c r="W341" s="82"/>
      <c r="X341" s="82"/>
      <c r="Y341" s="86"/>
      <c r="Z341" s="82"/>
      <c r="AA341" s="82"/>
      <c r="AB341" s="82"/>
      <c r="AC341" s="82"/>
      <c r="AD341" s="83"/>
      <c r="AE341" s="98"/>
      <c r="AF341" s="85"/>
      <c r="AG341" s="82"/>
      <c r="AH341" s="82"/>
      <c r="AI341" s="86"/>
      <c r="AJ341" s="82"/>
      <c r="AK341" s="82"/>
      <c r="AL341" s="82"/>
      <c r="AM341" s="82"/>
      <c r="AN341" s="83"/>
      <c r="AO341" s="98"/>
      <c r="AP341" s="85"/>
      <c r="AQ341" s="82"/>
      <c r="AR341" s="82"/>
      <c r="AS341" s="86"/>
      <c r="AT341" s="82"/>
      <c r="AU341" s="82"/>
      <c r="AV341" s="82"/>
      <c r="AW341" s="82"/>
      <c r="AX341" s="83"/>
      <c r="AY341" s="98"/>
      <c r="AZ341" s="85"/>
      <c r="BA341" s="82"/>
      <c r="BB341" s="82"/>
      <c r="BC341" s="86"/>
      <c r="BD341" s="82"/>
      <c r="BE341" s="82"/>
      <c r="BF341" s="82"/>
      <c r="BG341" s="82"/>
      <c r="BH341" s="83"/>
      <c r="BI341" s="98"/>
      <c r="BJ341" s="85"/>
      <c r="BK341" s="82"/>
      <c r="BL341" s="82"/>
      <c r="BM341" s="86"/>
      <c r="BN341" s="82"/>
      <c r="BO341" s="82"/>
      <c r="BP341" s="82"/>
      <c r="BQ341" s="82"/>
      <c r="BR341" s="83"/>
      <c r="BS341" s="98"/>
      <c r="BT341" s="85"/>
      <c r="BU341" s="82"/>
      <c r="BV341" s="82"/>
      <c r="BW341" s="86"/>
      <c r="BX341" s="82"/>
      <c r="BY341" s="82"/>
      <c r="BZ341" s="82"/>
      <c r="CA341" s="82"/>
      <c r="CB341" s="83"/>
      <c r="CC341" s="98"/>
      <c r="CD341" s="85"/>
      <c r="CE341" s="82"/>
      <c r="CF341" s="82"/>
      <c r="CG341" s="86"/>
      <c r="CH341" s="82"/>
      <c r="CI341" s="82"/>
      <c r="CJ341" s="82"/>
      <c r="CK341" s="82"/>
      <c r="CL341" s="83"/>
      <c r="CM341" s="98"/>
      <c r="CN341" s="85"/>
      <c r="CO341" s="82"/>
      <c r="CP341" s="82"/>
      <c r="CQ341" s="86"/>
      <c r="CR341" s="82"/>
      <c r="CS341" s="82"/>
      <c r="CT341" s="82"/>
      <c r="CU341" s="82"/>
      <c r="CV341" s="83"/>
      <c r="CW341" s="98"/>
      <c r="CX341" s="85"/>
      <c r="CY341" s="82"/>
      <c r="CZ341" s="82"/>
      <c r="DA341" s="86"/>
      <c r="DB341" s="82"/>
      <c r="DC341" s="82"/>
      <c r="DD341" s="82"/>
      <c r="DE341" s="82"/>
      <c r="DF341" s="83"/>
      <c r="DG341" s="98"/>
      <c r="DH341" s="85"/>
      <c r="DI341" s="82"/>
      <c r="DJ341" s="82"/>
      <c r="DK341" s="86"/>
      <c r="DL341" s="82"/>
      <c r="DM341" s="82"/>
      <c r="DN341" s="82"/>
      <c r="DO341" s="82"/>
      <c r="DP341" s="83"/>
      <c r="DQ341" s="98"/>
      <c r="DR341" s="85"/>
      <c r="DS341" s="82"/>
      <c r="DT341" s="82"/>
      <c r="DU341" s="86"/>
      <c r="DV341" s="82"/>
      <c r="DW341" s="82"/>
      <c r="DX341" s="82"/>
      <c r="DY341" s="82"/>
      <c r="DZ341" s="83"/>
      <c r="EA341" s="98"/>
      <c r="EB341" s="85"/>
      <c r="EC341" s="82"/>
      <c r="ED341" s="82"/>
      <c r="EE341" s="86"/>
      <c r="EF341" s="82"/>
      <c r="EG341" s="82"/>
      <c r="EH341" s="82"/>
      <c r="EI341" s="82"/>
      <c r="EJ341" s="83"/>
      <c r="EK341" s="98"/>
      <c r="EL341" s="85"/>
      <c r="EM341" s="82"/>
      <c r="EN341" s="82"/>
      <c r="EO341" s="86"/>
      <c r="EP341" s="82"/>
      <c r="EQ341" s="82"/>
      <c r="ER341" s="82"/>
      <c r="ES341" s="82"/>
      <c r="ET341" s="83"/>
      <c r="EU341" s="98"/>
      <c r="EV341" s="85"/>
      <c r="EW341" s="82"/>
      <c r="EX341" s="82"/>
      <c r="EY341" s="86"/>
      <c r="EZ341" s="82"/>
      <c r="FA341" s="82"/>
      <c r="FB341" s="82"/>
      <c r="FC341" s="82"/>
      <c r="FD341" s="83"/>
      <c r="FE341" s="98"/>
      <c r="FF341" s="85"/>
      <c r="FG341" s="82"/>
      <c r="FH341" s="82"/>
      <c r="FI341" s="86"/>
      <c r="FJ341" s="82"/>
      <c r="FK341" s="82"/>
      <c r="FL341" s="82"/>
      <c r="FM341" s="82"/>
      <c r="FN341" s="83"/>
      <c r="FO341" s="98"/>
      <c r="FP341" s="85"/>
      <c r="FQ341" s="82"/>
      <c r="FR341" s="82"/>
      <c r="FS341" s="86"/>
      <c r="FT341" s="82"/>
      <c r="FU341" s="82"/>
      <c r="FV341" s="82"/>
      <c r="FW341" s="82"/>
      <c r="FX341" s="83"/>
      <c r="FY341" s="98"/>
      <c r="FZ341" s="85"/>
      <c r="GA341" s="82"/>
      <c r="GB341" s="82"/>
      <c r="GC341" s="86"/>
      <c r="GD341" s="82"/>
      <c r="GE341" s="82"/>
      <c r="GF341" s="82"/>
      <c r="GG341" s="82"/>
      <c r="GH341" s="83"/>
      <c r="GI341" s="98"/>
      <c r="GJ341" s="85"/>
      <c r="GK341" s="82"/>
      <c r="GL341" s="82"/>
      <c r="GM341" s="86"/>
      <c r="GN341" s="82"/>
      <c r="GO341" s="82"/>
      <c r="GP341" s="82"/>
      <c r="GQ341" s="82"/>
      <c r="GR341" s="83"/>
      <c r="GS341" s="98"/>
      <c r="GT341" s="85"/>
      <c r="GU341" s="82"/>
      <c r="GV341" s="82"/>
      <c r="GW341" s="86"/>
      <c r="GX341" s="82"/>
      <c r="GY341" s="82"/>
      <c r="GZ341" s="82"/>
      <c r="HA341" s="82"/>
      <c r="HB341" s="83"/>
      <c r="HC341" s="98"/>
      <c r="HD341" s="85"/>
      <c r="HE341" s="82"/>
      <c r="HF341" s="82"/>
      <c r="HG341" s="86"/>
      <c r="HH341" s="82"/>
      <c r="HI341" s="82"/>
      <c r="HJ341" s="82"/>
      <c r="HK341" s="82"/>
      <c r="HL341" s="83"/>
      <c r="HM341" s="98"/>
      <c r="HN341" s="85"/>
      <c r="HO341" s="82"/>
      <c r="HP341" s="82"/>
      <c r="HQ341" s="86"/>
      <c r="HR341" s="82"/>
      <c r="HS341" s="82"/>
      <c r="HT341" s="82"/>
      <c r="HU341" s="82"/>
      <c r="HV341" s="83"/>
      <c r="HW341" s="98"/>
      <c r="HX341" s="85"/>
      <c r="HY341" s="82"/>
      <c r="HZ341" s="82"/>
      <c r="IA341" s="86"/>
      <c r="IB341" s="82"/>
      <c r="IC341" s="82"/>
      <c r="ID341" s="82"/>
      <c r="IE341" s="82"/>
      <c r="IF341" s="83"/>
      <c r="IG341" s="98"/>
      <c r="IH341" s="85"/>
      <c r="II341" s="82"/>
      <c r="IJ341" s="82"/>
      <c r="IK341" s="86"/>
      <c r="IL341" s="82"/>
      <c r="IM341" s="82"/>
      <c r="IN341" s="82"/>
      <c r="IO341" s="82"/>
      <c r="IP341" s="83"/>
      <c r="IQ341" s="98"/>
      <c r="IR341" s="85"/>
      <c r="IS341" s="82"/>
      <c r="IT341" s="82"/>
      <c r="IU341" s="86"/>
      <c r="IV341" s="82"/>
      <c r="IW341" s="82"/>
      <c r="IX341" s="82"/>
      <c r="IY341" s="82"/>
      <c r="IZ341" s="83"/>
      <c r="JA341" s="98"/>
      <c r="JB341" s="85"/>
      <c r="JC341" s="82"/>
      <c r="JD341" s="82"/>
      <c r="JE341" s="86"/>
      <c r="JF341" s="82"/>
      <c r="JG341" s="82"/>
      <c r="JH341" s="82"/>
      <c r="JI341" s="82"/>
      <c r="JJ341" s="83"/>
      <c r="JK341" s="98"/>
      <c r="JL341" s="85"/>
      <c r="JM341" s="82"/>
      <c r="JN341" s="82"/>
      <c r="JO341" s="86"/>
      <c r="JP341" s="82"/>
      <c r="JQ341" s="82"/>
      <c r="JR341" s="82"/>
      <c r="JS341" s="82"/>
      <c r="JT341" s="83"/>
      <c r="JU341" s="98"/>
      <c r="JV341" s="85"/>
      <c r="JW341" s="82"/>
      <c r="JX341" s="82"/>
      <c r="JY341" s="86"/>
      <c r="JZ341" s="82"/>
      <c r="KA341" s="82"/>
      <c r="KB341" s="82"/>
      <c r="KC341" s="82"/>
      <c r="KD341" s="83"/>
      <c r="KE341" s="98"/>
      <c r="KF341" s="85"/>
      <c r="KG341" s="82"/>
      <c r="KH341" s="82"/>
      <c r="KI341" s="86"/>
      <c r="KJ341" s="82"/>
      <c r="KK341" s="82"/>
      <c r="KL341" s="82"/>
      <c r="KM341" s="82"/>
      <c r="KN341" s="83"/>
      <c r="KO341" s="98"/>
      <c r="KP341" s="85"/>
      <c r="KQ341" s="82"/>
      <c r="KR341" s="82"/>
      <c r="KS341" s="86"/>
      <c r="KT341" s="82"/>
      <c r="KU341" s="82"/>
      <c r="KV341" s="82"/>
      <c r="KW341" s="82"/>
      <c r="KX341" s="83"/>
      <c r="KY341" s="98"/>
      <c r="KZ341" s="85"/>
      <c r="LA341" s="82"/>
      <c r="LB341" s="82"/>
      <c r="LC341" s="86"/>
      <c r="LD341" s="82"/>
      <c r="LE341" s="82"/>
      <c r="LF341" s="82"/>
      <c r="LG341" s="82"/>
      <c r="LH341" s="83"/>
      <c r="LI341" s="98"/>
      <c r="LJ341" s="85"/>
      <c r="LK341" s="82"/>
      <c r="LL341" s="82"/>
      <c r="LM341" s="86"/>
      <c r="LN341" s="82"/>
      <c r="LO341" s="82"/>
      <c r="LP341" s="82"/>
      <c r="LQ341" s="82"/>
      <c r="LR341" s="83"/>
      <c r="LS341" s="98"/>
      <c r="LT341" s="85"/>
      <c r="LU341" s="82"/>
      <c r="LV341" s="82"/>
      <c r="LW341" s="86"/>
      <c r="LX341" s="82"/>
      <c r="LY341" s="82"/>
      <c r="LZ341" s="82"/>
      <c r="MA341" s="82"/>
      <c r="MB341" s="83"/>
      <c r="MC341" s="98"/>
      <c r="MD341" s="85"/>
      <c r="ME341" s="82"/>
      <c r="MF341" s="82"/>
      <c r="MG341" s="86"/>
      <c r="MH341" s="82"/>
      <c r="MI341" s="82"/>
      <c r="MJ341" s="82"/>
      <c r="MK341" s="82"/>
      <c r="ML341" s="83"/>
      <c r="MM341" s="98"/>
      <c r="MN341" s="85"/>
      <c r="MO341" s="82"/>
      <c r="MP341" s="82"/>
      <c r="MQ341" s="86"/>
      <c r="MR341" s="82"/>
      <c r="MS341" s="82"/>
      <c r="MT341" s="82"/>
      <c r="MU341" s="82"/>
      <c r="MV341" s="83"/>
      <c r="MW341" s="98"/>
      <c r="MX341" s="85"/>
      <c r="MY341" s="82"/>
      <c r="MZ341" s="82"/>
      <c r="NA341" s="86"/>
      <c r="NB341" s="82"/>
      <c r="NC341" s="82"/>
      <c r="ND341" s="82"/>
      <c r="NE341" s="82"/>
      <c r="NF341" s="83"/>
      <c r="NG341" s="98"/>
      <c r="NH341" s="85"/>
      <c r="NI341" s="82"/>
      <c r="NJ341" s="82"/>
      <c r="NK341" s="86"/>
      <c r="NL341" s="82"/>
      <c r="NM341" s="82"/>
      <c r="NN341" s="82"/>
      <c r="NO341" s="82"/>
      <c r="NP341" s="83"/>
      <c r="NQ341" s="98"/>
      <c r="NR341" s="85"/>
      <c r="NS341" s="82"/>
      <c r="NT341" s="82"/>
      <c r="NU341" s="86"/>
      <c r="NV341" s="82"/>
      <c r="NW341" s="82"/>
      <c r="NX341" s="82"/>
      <c r="NY341" s="82"/>
      <c r="NZ341" s="83"/>
      <c r="OA341" s="98"/>
      <c r="OB341" s="85"/>
      <c r="OC341" s="82"/>
      <c r="OD341" s="82"/>
      <c r="OE341" s="86"/>
      <c r="OF341" s="82"/>
      <c r="OG341" s="82"/>
      <c r="OH341" s="82"/>
      <c r="OI341" s="82"/>
      <c r="OJ341" s="83"/>
      <c r="OK341" s="98"/>
      <c r="OL341" s="85"/>
      <c r="OM341" s="82"/>
      <c r="ON341" s="82"/>
      <c r="OO341" s="86"/>
      <c r="OP341" s="82"/>
      <c r="OQ341" s="82"/>
      <c r="OR341" s="82"/>
      <c r="OS341" s="82"/>
      <c r="OT341" s="83"/>
      <c r="OU341" s="98"/>
      <c r="OV341" s="85"/>
      <c r="OW341" s="82"/>
      <c r="OX341" s="82"/>
      <c r="OY341" s="86"/>
      <c r="OZ341" s="82"/>
      <c r="PA341" s="82"/>
      <c r="PB341" s="82"/>
      <c r="PC341" s="82"/>
      <c r="PD341" s="83"/>
      <c r="PE341" s="98"/>
      <c r="PF341" s="85"/>
      <c r="PG341" s="82"/>
      <c r="PH341" s="82"/>
      <c r="PI341" s="86"/>
      <c r="PJ341" s="82"/>
      <c r="PK341" s="82"/>
      <c r="PL341" s="82"/>
      <c r="PM341" s="82"/>
      <c r="PN341" s="83"/>
      <c r="PO341" s="98"/>
      <c r="PP341" s="85"/>
      <c r="PQ341" s="82"/>
      <c r="PR341" s="82"/>
      <c r="PS341" s="86"/>
      <c r="PT341" s="82"/>
      <c r="PU341" s="82"/>
      <c r="PV341" s="82"/>
      <c r="PW341" s="82"/>
      <c r="PX341" s="83"/>
      <c r="PY341" s="98"/>
      <c r="PZ341" s="85"/>
      <c r="QA341" s="82"/>
      <c r="QB341" s="82"/>
      <c r="QC341" s="86"/>
      <c r="QD341" s="82"/>
      <c r="QE341" s="82"/>
      <c r="QF341" s="82"/>
      <c r="QG341" s="82"/>
      <c r="QH341" s="83"/>
      <c r="QI341" s="98"/>
      <c r="QJ341" s="85"/>
      <c r="QK341" s="82"/>
      <c r="QL341" s="82"/>
      <c r="QM341" s="86"/>
      <c r="QN341" s="82"/>
      <c r="QO341" s="82"/>
      <c r="QP341" s="82"/>
      <c r="QQ341" s="82"/>
      <c r="QR341" s="83"/>
      <c r="QS341" s="98"/>
      <c r="QT341" s="85"/>
      <c r="QU341" s="82"/>
      <c r="QV341" s="82"/>
      <c r="QW341" s="86"/>
      <c r="QX341" s="82"/>
      <c r="QY341" s="82"/>
      <c r="QZ341" s="82"/>
      <c r="RA341" s="82"/>
      <c r="RB341" s="83"/>
      <c r="RC341" s="98"/>
      <c r="RD341" s="85"/>
      <c r="RE341" s="82"/>
      <c r="RF341" s="82"/>
      <c r="RG341" s="86"/>
      <c r="RH341" s="82"/>
      <c r="RI341" s="82"/>
      <c r="RJ341" s="82"/>
      <c r="RK341" s="82"/>
      <c r="RL341" s="83"/>
      <c r="RM341" s="98"/>
      <c r="RN341" s="85"/>
      <c r="RO341" s="82"/>
      <c r="RP341" s="82"/>
      <c r="RQ341" s="86"/>
      <c r="RR341" s="82"/>
      <c r="RS341" s="82"/>
      <c r="RT341" s="82"/>
      <c r="RU341" s="82"/>
      <c r="RV341" s="83"/>
      <c r="RW341" s="98"/>
      <c r="RX341" s="85"/>
      <c r="RY341" s="82"/>
      <c r="RZ341" s="82"/>
      <c r="SA341" s="86"/>
      <c r="SB341" s="82"/>
      <c r="SC341" s="82"/>
      <c r="SD341" s="82"/>
      <c r="SE341" s="82"/>
      <c r="SF341" s="83"/>
      <c r="SG341" s="98"/>
      <c r="SH341" s="85"/>
      <c r="SI341" s="82"/>
      <c r="SJ341" s="82"/>
      <c r="SK341" s="86"/>
      <c r="SL341" s="82"/>
      <c r="SM341" s="82"/>
      <c r="SN341" s="82"/>
      <c r="SO341" s="82"/>
      <c r="SP341" s="83"/>
      <c r="SQ341" s="98"/>
      <c r="SR341" s="85"/>
      <c r="SS341" s="82"/>
      <c r="ST341" s="82"/>
      <c r="SU341" s="86"/>
      <c r="SV341" s="82"/>
      <c r="SW341" s="82"/>
      <c r="SX341" s="82"/>
      <c r="SY341" s="82"/>
      <c r="SZ341" s="83"/>
      <c r="TA341" s="98"/>
      <c r="TB341" s="85"/>
      <c r="TC341" s="82"/>
      <c r="TD341" s="82"/>
      <c r="TE341" s="86"/>
      <c r="TF341" s="82"/>
      <c r="TG341" s="82"/>
      <c r="TH341" s="82"/>
      <c r="TI341" s="82"/>
      <c r="TJ341" s="83"/>
      <c r="TK341" s="98"/>
      <c r="TL341" s="85"/>
      <c r="TM341" s="82"/>
      <c r="TN341" s="82"/>
      <c r="TO341" s="86"/>
      <c r="TP341" s="82"/>
      <c r="TQ341" s="82"/>
      <c r="TR341" s="82"/>
      <c r="TS341" s="82"/>
      <c r="TT341" s="83"/>
      <c r="TU341" s="98"/>
      <c r="TV341" s="85"/>
      <c r="TW341" s="82"/>
      <c r="TX341" s="82"/>
      <c r="TY341" s="86"/>
      <c r="TZ341" s="82"/>
      <c r="UA341" s="82"/>
      <c r="UB341" s="82"/>
      <c r="UC341" s="82"/>
      <c r="UD341" s="83"/>
      <c r="UE341" s="98"/>
      <c r="UF341" s="85"/>
      <c r="UG341" s="82"/>
      <c r="UH341" s="82"/>
      <c r="UI341" s="86"/>
      <c r="UJ341" s="82"/>
      <c r="UK341" s="82"/>
      <c r="UL341" s="82"/>
      <c r="UM341" s="82"/>
      <c r="UN341" s="83"/>
      <c r="UO341" s="98"/>
      <c r="UP341" s="85"/>
      <c r="UQ341" s="82"/>
      <c r="UR341" s="82"/>
      <c r="US341" s="86"/>
      <c r="UT341" s="82"/>
      <c r="UU341" s="82"/>
      <c r="UV341" s="82"/>
      <c r="UW341" s="82"/>
      <c r="UX341" s="83"/>
      <c r="UY341" s="98"/>
      <c r="UZ341" s="85"/>
      <c r="VA341" s="82"/>
      <c r="VB341" s="82"/>
      <c r="VC341" s="86"/>
      <c r="VD341" s="82"/>
      <c r="VE341" s="82"/>
      <c r="VF341" s="82"/>
      <c r="VG341" s="82"/>
      <c r="VH341" s="83"/>
      <c r="VI341" s="98"/>
      <c r="VJ341" s="85"/>
      <c r="VK341" s="82"/>
      <c r="VL341" s="82"/>
      <c r="VM341" s="86"/>
      <c r="VN341" s="82"/>
      <c r="VO341" s="82"/>
      <c r="VP341" s="82"/>
      <c r="VQ341" s="82"/>
      <c r="VR341" s="83"/>
      <c r="VS341" s="98"/>
      <c r="VT341" s="85"/>
      <c r="VU341" s="82"/>
      <c r="VV341" s="82"/>
      <c r="VW341" s="86"/>
      <c r="VX341" s="82"/>
      <c r="VY341" s="82"/>
      <c r="VZ341" s="82"/>
      <c r="WA341" s="82"/>
      <c r="WB341" s="83"/>
      <c r="WC341" s="98"/>
      <c r="WD341" s="85"/>
      <c r="WE341" s="82"/>
      <c r="WF341" s="82"/>
      <c r="WG341" s="86"/>
      <c r="WH341" s="82"/>
      <c r="WI341" s="82"/>
      <c r="WJ341" s="82"/>
      <c r="WK341" s="82"/>
      <c r="WL341" s="83"/>
      <c r="WM341" s="98"/>
      <c r="WN341" s="85"/>
      <c r="WO341" s="82"/>
      <c r="WP341" s="82"/>
      <c r="WQ341" s="86"/>
      <c r="WR341" s="82"/>
      <c r="WS341" s="82"/>
      <c r="WT341" s="82"/>
      <c r="WU341" s="82"/>
      <c r="WV341" s="83"/>
      <c r="WW341" s="98"/>
      <c r="WX341" s="85"/>
      <c r="WY341" s="82"/>
      <c r="WZ341" s="82"/>
      <c r="XA341" s="86"/>
      <c r="XB341" s="82"/>
      <c r="XC341" s="82"/>
      <c r="XD341" s="82"/>
      <c r="XE341" s="82"/>
      <c r="XF341" s="83"/>
      <c r="XG341" s="98"/>
      <c r="XH341" s="85"/>
      <c r="XI341" s="82"/>
      <c r="XJ341" s="82"/>
      <c r="XK341" s="86"/>
      <c r="XL341" s="82"/>
      <c r="XM341" s="82"/>
      <c r="XN341" s="82"/>
      <c r="XO341" s="82"/>
      <c r="XP341" s="83"/>
      <c r="XQ341" s="98"/>
      <c r="XR341" s="85"/>
      <c r="XS341" s="82"/>
      <c r="XT341" s="82"/>
      <c r="XU341" s="86"/>
      <c r="XV341" s="82"/>
      <c r="XW341" s="82"/>
      <c r="XX341" s="82"/>
      <c r="XY341" s="82"/>
      <c r="XZ341" s="83"/>
      <c r="YA341" s="98"/>
      <c r="YB341" s="85"/>
      <c r="YC341" s="82"/>
      <c r="YD341" s="82"/>
      <c r="YE341" s="86"/>
      <c r="YF341" s="82"/>
      <c r="YG341" s="82"/>
      <c r="YH341" s="82"/>
      <c r="YI341" s="82"/>
      <c r="YJ341" s="83"/>
      <c r="YK341" s="98"/>
      <c r="YL341" s="85"/>
      <c r="YM341" s="82"/>
      <c r="YN341" s="82"/>
      <c r="YO341" s="86"/>
      <c r="YP341" s="82"/>
      <c r="YQ341" s="82"/>
      <c r="YR341" s="82"/>
      <c r="YS341" s="82"/>
      <c r="YT341" s="83"/>
      <c r="YU341" s="98"/>
      <c r="YV341" s="85"/>
      <c r="YW341" s="82"/>
      <c r="YX341" s="82"/>
      <c r="YY341" s="86"/>
      <c r="YZ341" s="82"/>
      <c r="ZA341" s="82"/>
      <c r="ZB341" s="82"/>
      <c r="ZC341" s="82"/>
      <c r="ZD341" s="83"/>
      <c r="ZE341" s="98"/>
      <c r="ZF341" s="85"/>
      <c r="ZG341" s="82"/>
      <c r="ZH341" s="82"/>
      <c r="ZI341" s="86"/>
      <c r="ZJ341" s="82"/>
      <c r="ZK341" s="82"/>
      <c r="ZL341" s="82"/>
      <c r="ZM341" s="82"/>
      <c r="ZN341" s="83"/>
      <c r="ZO341" s="98"/>
      <c r="ZP341" s="85"/>
      <c r="ZQ341" s="82"/>
      <c r="ZR341" s="82"/>
      <c r="ZS341" s="86"/>
      <c r="ZT341" s="82"/>
      <c r="ZU341" s="82"/>
      <c r="ZV341" s="82"/>
      <c r="ZW341" s="82"/>
      <c r="ZX341" s="83"/>
      <c r="ZY341" s="98"/>
      <c r="ZZ341" s="85"/>
      <c r="AAA341" s="82"/>
      <c r="AAB341" s="82"/>
      <c r="AAC341" s="86"/>
      <c r="AAD341" s="82"/>
      <c r="AAE341" s="82"/>
      <c r="AAF341" s="82"/>
      <c r="AAG341" s="82"/>
      <c r="AAH341" s="83"/>
      <c r="AAI341" s="98"/>
      <c r="AAJ341" s="85"/>
      <c r="AAK341" s="82"/>
      <c r="AAL341" s="82"/>
      <c r="AAM341" s="86"/>
      <c r="AAN341" s="82"/>
      <c r="AAO341" s="82"/>
      <c r="AAP341" s="82"/>
      <c r="AAQ341" s="82"/>
      <c r="AAR341" s="83"/>
      <c r="AAS341" s="98"/>
      <c r="AAT341" s="85"/>
      <c r="AAU341" s="82"/>
      <c r="AAV341" s="82"/>
      <c r="AAW341" s="86"/>
      <c r="AAX341" s="82"/>
      <c r="AAY341" s="82"/>
      <c r="AAZ341" s="82"/>
      <c r="ABA341" s="82"/>
      <c r="ABB341" s="83"/>
      <c r="ABC341" s="98"/>
      <c r="ABD341" s="85"/>
      <c r="ABE341" s="82"/>
      <c r="ABF341" s="82"/>
      <c r="ABG341" s="86"/>
      <c r="ABH341" s="82"/>
      <c r="ABI341" s="82"/>
      <c r="ABJ341" s="82"/>
      <c r="ABK341" s="82"/>
      <c r="ABL341" s="83"/>
      <c r="ABM341" s="98"/>
      <c r="ABN341" s="85"/>
      <c r="ABO341" s="82"/>
      <c r="ABP341" s="82"/>
      <c r="ABQ341" s="86"/>
      <c r="ABR341" s="82"/>
      <c r="ABS341" s="82"/>
      <c r="ABT341" s="82"/>
      <c r="ABU341" s="82"/>
      <c r="ABV341" s="83"/>
      <c r="ABW341" s="98"/>
      <c r="ABX341" s="85"/>
      <c r="ABY341" s="82"/>
      <c r="ABZ341" s="82"/>
      <c r="ACA341" s="86"/>
      <c r="ACB341" s="82"/>
      <c r="ACC341" s="82"/>
      <c r="ACD341" s="82"/>
      <c r="ACE341" s="82"/>
      <c r="ACF341" s="83"/>
      <c r="ACG341" s="98"/>
      <c r="ACH341" s="85"/>
      <c r="ACI341" s="82"/>
      <c r="ACJ341" s="82"/>
      <c r="ACK341" s="86"/>
      <c r="ACL341" s="82"/>
      <c r="ACM341" s="82"/>
      <c r="ACN341" s="82"/>
      <c r="ACO341" s="82"/>
      <c r="ACP341" s="83"/>
      <c r="ACQ341" s="98"/>
      <c r="ACR341" s="85"/>
      <c r="ACS341" s="82"/>
      <c r="ACT341" s="82"/>
      <c r="ACU341" s="86"/>
      <c r="ACV341" s="82"/>
      <c r="ACW341" s="82"/>
      <c r="ACX341" s="82"/>
      <c r="ACY341" s="82"/>
      <c r="ACZ341" s="83"/>
      <c r="ADA341" s="98"/>
      <c r="ADB341" s="85"/>
      <c r="ADC341" s="82"/>
      <c r="ADD341" s="82"/>
      <c r="ADE341" s="86"/>
      <c r="ADF341" s="82"/>
      <c r="ADG341" s="82"/>
      <c r="ADH341" s="82"/>
      <c r="ADI341" s="82"/>
      <c r="ADJ341" s="83"/>
      <c r="ADK341" s="98"/>
      <c r="ADL341" s="85"/>
      <c r="ADM341" s="82"/>
      <c r="ADN341" s="82"/>
      <c r="ADO341" s="86"/>
      <c r="ADP341" s="82"/>
      <c r="ADQ341" s="82"/>
      <c r="ADR341" s="82"/>
      <c r="ADS341" s="82"/>
      <c r="ADT341" s="83"/>
      <c r="ADU341" s="98"/>
      <c r="ADV341" s="85"/>
      <c r="ADW341" s="82"/>
      <c r="ADX341" s="82"/>
      <c r="ADY341" s="86"/>
      <c r="ADZ341" s="82"/>
      <c r="AEA341" s="82"/>
      <c r="AEB341" s="82"/>
      <c r="AEC341" s="82"/>
      <c r="AED341" s="83"/>
      <c r="AEE341" s="98"/>
      <c r="AEF341" s="85"/>
      <c r="AEG341" s="82"/>
      <c r="AEH341" s="82"/>
      <c r="AEI341" s="86"/>
      <c r="AEJ341" s="82"/>
      <c r="AEK341" s="82"/>
      <c r="AEL341" s="82"/>
      <c r="AEM341" s="82"/>
      <c r="AEN341" s="83"/>
      <c r="AEO341" s="98"/>
      <c r="AEP341" s="85"/>
      <c r="AEQ341" s="82"/>
      <c r="AER341" s="82"/>
      <c r="AES341" s="86"/>
      <c r="AET341" s="82"/>
      <c r="AEU341" s="82"/>
      <c r="AEV341" s="82"/>
      <c r="AEW341" s="82"/>
      <c r="AEX341" s="83"/>
      <c r="AEY341" s="98"/>
      <c r="AEZ341" s="85"/>
      <c r="AFA341" s="82"/>
      <c r="AFB341" s="82"/>
      <c r="AFC341" s="86"/>
      <c r="AFD341" s="82"/>
      <c r="AFE341" s="82"/>
      <c r="AFF341" s="82"/>
      <c r="AFG341" s="82"/>
      <c r="AFH341" s="83"/>
      <c r="AFI341" s="98"/>
      <c r="AFJ341" s="85"/>
      <c r="AFK341" s="82"/>
      <c r="AFL341" s="82"/>
      <c r="AFM341" s="86"/>
      <c r="AFN341" s="82"/>
      <c r="AFO341" s="82"/>
      <c r="AFP341" s="82"/>
      <c r="AFQ341" s="82"/>
      <c r="AFR341" s="83"/>
      <c r="AFS341" s="98"/>
      <c r="AFT341" s="85"/>
      <c r="AFU341" s="82"/>
      <c r="AFV341" s="82"/>
      <c r="AFW341" s="86"/>
      <c r="AFX341" s="82"/>
      <c r="AFY341" s="82"/>
      <c r="AFZ341" s="82"/>
      <c r="AGA341" s="82"/>
      <c r="AGB341" s="83"/>
      <c r="AGC341" s="98"/>
      <c r="AGD341" s="85"/>
      <c r="AGE341" s="82"/>
      <c r="AGF341" s="82"/>
      <c r="AGG341" s="86"/>
      <c r="AGH341" s="82"/>
      <c r="AGI341" s="82"/>
      <c r="AGJ341" s="82"/>
      <c r="AGK341" s="82"/>
      <c r="AGL341" s="83"/>
      <c r="AGM341" s="98"/>
      <c r="AGN341" s="85"/>
      <c r="AGO341" s="82"/>
      <c r="AGP341" s="82"/>
      <c r="AGQ341" s="86"/>
      <c r="AGR341" s="82"/>
      <c r="AGS341" s="82"/>
      <c r="AGT341" s="82"/>
      <c r="AGU341" s="82"/>
      <c r="AGV341" s="83"/>
      <c r="AGW341" s="98"/>
      <c r="AGX341" s="85"/>
      <c r="AGY341" s="82"/>
      <c r="AGZ341" s="82"/>
      <c r="AHA341" s="86"/>
      <c r="AHB341" s="82"/>
      <c r="AHC341" s="82"/>
      <c r="AHD341" s="82"/>
      <c r="AHE341" s="82"/>
      <c r="AHF341" s="83"/>
      <c r="AHG341" s="98"/>
      <c r="AHH341" s="85"/>
      <c r="AHI341" s="82"/>
      <c r="AHJ341" s="82"/>
      <c r="AHK341" s="86"/>
      <c r="AHL341" s="82"/>
      <c r="AHM341" s="82"/>
      <c r="AHN341" s="82"/>
      <c r="AHO341" s="82"/>
      <c r="AHP341" s="83"/>
      <c r="AHQ341" s="98"/>
      <c r="AHR341" s="85"/>
      <c r="AHS341" s="82"/>
      <c r="AHT341" s="82"/>
      <c r="AHU341" s="86"/>
      <c r="AHV341" s="82"/>
      <c r="AHW341" s="82"/>
      <c r="AHX341" s="82"/>
      <c r="AHY341" s="82"/>
      <c r="AHZ341" s="83"/>
      <c r="AIA341" s="98"/>
      <c r="AIB341" s="85"/>
      <c r="AIC341" s="82"/>
      <c r="AID341" s="82"/>
      <c r="AIE341" s="86"/>
      <c r="AIF341" s="82"/>
      <c r="AIG341" s="82"/>
      <c r="AIH341" s="82"/>
      <c r="AII341" s="82"/>
      <c r="AIJ341" s="83"/>
      <c r="AIK341" s="98"/>
      <c r="AIL341" s="85"/>
      <c r="AIM341" s="82"/>
      <c r="AIN341" s="82"/>
      <c r="AIO341" s="86"/>
      <c r="AIP341" s="82"/>
      <c r="AIQ341" s="82"/>
      <c r="AIR341" s="82"/>
      <c r="AIS341" s="82"/>
      <c r="AIT341" s="83"/>
      <c r="AIU341" s="98"/>
      <c r="AIV341" s="85"/>
      <c r="AIW341" s="82"/>
      <c r="AIX341" s="82"/>
      <c r="AIY341" s="86"/>
      <c r="AIZ341" s="82"/>
      <c r="AJA341" s="82"/>
      <c r="AJB341" s="82"/>
      <c r="AJC341" s="82"/>
      <c r="AJD341" s="83"/>
      <c r="AJE341" s="98"/>
      <c r="AJF341" s="85"/>
      <c r="AJG341" s="82"/>
      <c r="AJH341" s="82"/>
      <c r="AJI341" s="86"/>
      <c r="AJJ341" s="82"/>
      <c r="AJK341" s="82"/>
      <c r="AJL341" s="82"/>
      <c r="AJM341" s="82"/>
      <c r="AJN341" s="83"/>
      <c r="AJO341" s="98"/>
      <c r="AJP341" s="85"/>
      <c r="AJQ341" s="82"/>
      <c r="AJR341" s="82"/>
      <c r="AJS341" s="86"/>
      <c r="AJT341" s="82"/>
      <c r="AJU341" s="82"/>
      <c r="AJV341" s="82"/>
      <c r="AJW341" s="82"/>
      <c r="AJX341" s="83"/>
      <c r="AJY341" s="98"/>
      <c r="AJZ341" s="85"/>
      <c r="AKA341" s="82"/>
      <c r="AKB341" s="82"/>
      <c r="AKC341" s="86"/>
      <c r="AKD341" s="82"/>
      <c r="AKE341" s="82"/>
      <c r="AKF341" s="82"/>
      <c r="AKG341" s="82"/>
      <c r="AKH341" s="83"/>
      <c r="AKI341" s="98"/>
      <c r="AKJ341" s="85"/>
      <c r="AKK341" s="82"/>
      <c r="AKL341" s="82"/>
      <c r="AKM341" s="86"/>
      <c r="AKN341" s="82"/>
      <c r="AKO341" s="82"/>
      <c r="AKP341" s="82"/>
      <c r="AKQ341" s="82"/>
      <c r="AKR341" s="83"/>
      <c r="AKS341" s="98"/>
      <c r="AKT341" s="85"/>
      <c r="AKU341" s="82"/>
      <c r="AKV341" s="82"/>
      <c r="AKW341" s="86"/>
      <c r="AKX341" s="82"/>
      <c r="AKY341" s="82"/>
      <c r="AKZ341" s="82"/>
      <c r="ALA341" s="82"/>
      <c r="ALB341" s="83"/>
      <c r="ALC341" s="98"/>
      <c r="ALD341" s="85"/>
      <c r="ALE341" s="82"/>
      <c r="ALF341" s="82"/>
      <c r="ALG341" s="86"/>
      <c r="ALH341" s="82"/>
      <c r="ALI341" s="82"/>
      <c r="ALJ341" s="82"/>
      <c r="ALK341" s="82"/>
      <c r="ALL341" s="83"/>
      <c r="ALM341" s="98"/>
      <c r="ALN341" s="85"/>
      <c r="ALO341" s="82"/>
      <c r="ALP341" s="82"/>
      <c r="ALQ341" s="86"/>
      <c r="ALR341" s="82"/>
      <c r="ALS341" s="82"/>
      <c r="ALT341" s="82"/>
      <c r="ALU341" s="82"/>
      <c r="ALV341" s="83"/>
      <c r="ALW341" s="98"/>
      <c r="ALX341" s="85"/>
      <c r="ALY341" s="82"/>
      <c r="ALZ341" s="82"/>
      <c r="AMA341" s="86"/>
      <c r="AMB341" s="82"/>
      <c r="AMC341" s="82"/>
      <c r="AMD341" s="82"/>
      <c r="AME341" s="82"/>
      <c r="AMF341" s="83"/>
      <c r="AMG341" s="98"/>
      <c r="AMH341" s="85"/>
      <c r="AMI341" s="82"/>
      <c r="AMJ341" s="82"/>
      <c r="AMK341" s="86"/>
      <c r="AML341" s="82"/>
      <c r="AMM341" s="82"/>
      <c r="AMN341" s="82"/>
      <c r="AMO341" s="82"/>
      <c r="AMP341" s="83"/>
      <c r="AMQ341" s="98"/>
      <c r="AMR341" s="85"/>
      <c r="AMS341" s="82"/>
      <c r="AMT341" s="82"/>
      <c r="AMU341" s="86"/>
      <c r="AMV341" s="82"/>
      <c r="AMW341" s="82"/>
      <c r="AMX341" s="82"/>
      <c r="AMY341" s="82"/>
      <c r="AMZ341" s="83"/>
      <c r="ANA341" s="98"/>
      <c r="ANB341" s="85"/>
      <c r="ANC341" s="82"/>
      <c r="AND341" s="82"/>
      <c r="ANE341" s="86"/>
      <c r="ANF341" s="82"/>
      <c r="ANG341" s="82"/>
      <c r="ANH341" s="82"/>
      <c r="ANI341" s="82"/>
      <c r="ANJ341" s="83"/>
      <c r="ANK341" s="98"/>
      <c r="ANL341" s="85"/>
      <c r="ANM341" s="82"/>
      <c r="ANN341" s="82"/>
      <c r="ANO341" s="86"/>
      <c r="ANP341" s="82"/>
      <c r="ANQ341" s="82"/>
      <c r="ANR341" s="82"/>
      <c r="ANS341" s="82"/>
      <c r="ANT341" s="83"/>
      <c r="ANU341" s="98"/>
      <c r="ANV341" s="85"/>
      <c r="ANW341" s="82"/>
      <c r="ANX341" s="82"/>
      <c r="ANY341" s="86"/>
      <c r="ANZ341" s="82"/>
      <c r="AOA341" s="82"/>
      <c r="AOB341" s="82"/>
      <c r="AOC341" s="82"/>
      <c r="AOD341" s="83"/>
      <c r="AOE341" s="98"/>
      <c r="AOF341" s="85"/>
      <c r="AOG341" s="82"/>
      <c r="AOH341" s="82"/>
      <c r="AOI341" s="86"/>
      <c r="AOJ341" s="82"/>
      <c r="AOK341" s="82"/>
      <c r="AOL341" s="82"/>
      <c r="AOM341" s="82"/>
      <c r="AON341" s="83"/>
      <c r="AOO341" s="98"/>
      <c r="AOP341" s="85"/>
      <c r="AOQ341" s="82"/>
      <c r="AOR341" s="82"/>
      <c r="AOS341" s="86"/>
      <c r="AOT341" s="82"/>
      <c r="AOU341" s="82"/>
      <c r="AOV341" s="82"/>
      <c r="AOW341" s="82"/>
      <c r="AOX341" s="83"/>
      <c r="AOY341" s="98"/>
      <c r="AOZ341" s="85"/>
      <c r="APA341" s="82"/>
      <c r="APB341" s="82"/>
      <c r="APC341" s="86"/>
      <c r="APD341" s="82"/>
      <c r="APE341" s="82"/>
      <c r="APF341" s="82"/>
      <c r="APG341" s="82"/>
      <c r="APH341" s="83"/>
      <c r="API341" s="98"/>
      <c r="APJ341" s="85"/>
      <c r="APK341" s="82"/>
      <c r="APL341" s="82"/>
      <c r="APM341" s="86"/>
      <c r="APN341" s="82"/>
      <c r="APO341" s="82"/>
      <c r="APP341" s="82"/>
      <c r="APQ341" s="82"/>
      <c r="APR341" s="83"/>
      <c r="APS341" s="98"/>
      <c r="APT341" s="85"/>
      <c r="APU341" s="82"/>
      <c r="APV341" s="82"/>
      <c r="APW341" s="86"/>
      <c r="APX341" s="82"/>
      <c r="APY341" s="82"/>
      <c r="APZ341" s="82"/>
      <c r="AQA341" s="82"/>
      <c r="AQB341" s="83"/>
      <c r="AQC341" s="98"/>
      <c r="AQD341" s="85"/>
      <c r="AQE341" s="82"/>
      <c r="AQF341" s="82"/>
      <c r="AQG341" s="86"/>
      <c r="AQH341" s="82"/>
      <c r="AQI341" s="82"/>
      <c r="AQJ341" s="82"/>
      <c r="AQK341" s="82"/>
      <c r="AQL341" s="83"/>
      <c r="AQM341" s="98"/>
      <c r="AQN341" s="85"/>
      <c r="AQO341" s="82"/>
      <c r="AQP341" s="82"/>
      <c r="AQQ341" s="86"/>
      <c r="AQR341" s="82"/>
      <c r="AQS341" s="82"/>
      <c r="AQT341" s="82"/>
      <c r="AQU341" s="82"/>
      <c r="AQV341" s="83"/>
      <c r="AQW341" s="98"/>
      <c r="AQX341" s="85"/>
      <c r="AQY341" s="82"/>
      <c r="AQZ341" s="82"/>
      <c r="ARA341" s="86"/>
      <c r="ARB341" s="82"/>
      <c r="ARC341" s="82"/>
      <c r="ARD341" s="82"/>
      <c r="ARE341" s="82"/>
      <c r="ARF341" s="83"/>
      <c r="ARG341" s="98"/>
      <c r="ARH341" s="85"/>
      <c r="ARI341" s="82"/>
      <c r="ARJ341" s="82"/>
      <c r="ARK341" s="86"/>
      <c r="ARL341" s="82"/>
      <c r="ARM341" s="82"/>
      <c r="ARN341" s="82"/>
      <c r="ARO341" s="82"/>
      <c r="ARP341" s="83"/>
      <c r="ARQ341" s="98"/>
      <c r="ARR341" s="85"/>
      <c r="ARS341" s="82"/>
      <c r="ART341" s="82"/>
      <c r="ARU341" s="86"/>
      <c r="ARV341" s="82"/>
      <c r="ARW341" s="82"/>
      <c r="ARX341" s="82"/>
      <c r="ARY341" s="82"/>
      <c r="ARZ341" s="83"/>
      <c r="ASA341" s="98"/>
      <c r="ASB341" s="85"/>
      <c r="ASC341" s="82"/>
      <c r="ASD341" s="82"/>
      <c r="ASE341" s="86"/>
      <c r="ASF341" s="82"/>
      <c r="ASG341" s="82"/>
      <c r="ASH341" s="82"/>
      <c r="ASI341" s="82"/>
      <c r="ASJ341" s="83"/>
      <c r="ASK341" s="98"/>
      <c r="ASL341" s="85"/>
      <c r="ASM341" s="82"/>
      <c r="ASN341" s="82"/>
      <c r="ASO341" s="86"/>
      <c r="ASP341" s="82"/>
      <c r="ASQ341" s="82"/>
      <c r="ASR341" s="82"/>
      <c r="ASS341" s="82"/>
      <c r="AST341" s="83"/>
      <c r="ASU341" s="98"/>
      <c r="ASV341" s="85"/>
      <c r="ASW341" s="82"/>
      <c r="ASX341" s="82"/>
      <c r="ASY341" s="86"/>
      <c r="ASZ341" s="82"/>
      <c r="ATA341" s="82"/>
      <c r="ATB341" s="82"/>
      <c r="ATC341" s="82"/>
      <c r="ATD341" s="83"/>
      <c r="ATE341" s="98"/>
      <c r="ATF341" s="85"/>
      <c r="ATG341" s="82"/>
      <c r="ATH341" s="82"/>
      <c r="ATI341" s="86"/>
      <c r="ATJ341" s="82"/>
      <c r="ATK341" s="82"/>
      <c r="ATL341" s="82"/>
      <c r="ATM341" s="82"/>
      <c r="ATN341" s="83"/>
      <c r="ATO341" s="98"/>
      <c r="ATP341" s="85"/>
      <c r="ATQ341" s="82"/>
      <c r="ATR341" s="82"/>
      <c r="ATS341" s="86"/>
      <c r="ATT341" s="82"/>
      <c r="ATU341" s="82"/>
      <c r="ATV341" s="82"/>
      <c r="ATW341" s="82"/>
      <c r="ATX341" s="83"/>
      <c r="ATY341" s="98"/>
      <c r="ATZ341" s="85"/>
      <c r="AUA341" s="82"/>
      <c r="AUB341" s="82"/>
      <c r="AUC341" s="86"/>
      <c r="AUD341" s="82"/>
      <c r="AUE341" s="82"/>
      <c r="AUF341" s="82"/>
      <c r="AUG341" s="82"/>
      <c r="AUH341" s="83"/>
      <c r="AUI341" s="98"/>
      <c r="AUJ341" s="85"/>
      <c r="AUK341" s="82"/>
      <c r="AUL341" s="82"/>
      <c r="AUM341" s="86"/>
      <c r="AUN341" s="82"/>
      <c r="AUO341" s="82"/>
      <c r="AUP341" s="82"/>
      <c r="AUQ341" s="82"/>
      <c r="AUR341" s="83"/>
      <c r="AUS341" s="98"/>
      <c r="AUT341" s="85"/>
      <c r="AUU341" s="82"/>
      <c r="AUV341" s="82"/>
      <c r="AUW341" s="86"/>
      <c r="AUX341" s="82"/>
      <c r="AUY341" s="82"/>
      <c r="AUZ341" s="82"/>
      <c r="AVA341" s="82"/>
      <c r="AVB341" s="83"/>
      <c r="AVC341" s="98"/>
      <c r="AVD341" s="85"/>
      <c r="AVE341" s="82"/>
      <c r="AVF341" s="82"/>
      <c r="AVG341" s="86"/>
      <c r="AVH341" s="82"/>
      <c r="AVI341" s="82"/>
      <c r="AVJ341" s="82"/>
      <c r="AVK341" s="82"/>
      <c r="AVL341" s="83"/>
      <c r="AVM341" s="98"/>
      <c r="AVN341" s="85"/>
      <c r="AVO341" s="82"/>
      <c r="AVP341" s="82"/>
      <c r="AVQ341" s="86"/>
      <c r="AVR341" s="82"/>
      <c r="AVS341" s="82"/>
      <c r="AVT341" s="82"/>
      <c r="AVU341" s="82"/>
      <c r="AVV341" s="83"/>
      <c r="AVW341" s="98"/>
      <c r="AVX341" s="85"/>
      <c r="AVY341" s="82"/>
      <c r="AVZ341" s="82"/>
      <c r="AWA341" s="86"/>
      <c r="AWB341" s="82"/>
      <c r="AWC341" s="82"/>
      <c r="AWD341" s="82"/>
      <c r="AWE341" s="82"/>
      <c r="AWF341" s="83"/>
      <c r="AWG341" s="98"/>
      <c r="AWH341" s="85"/>
      <c r="AWI341" s="82"/>
      <c r="AWJ341" s="82"/>
      <c r="AWK341" s="86"/>
      <c r="AWL341" s="82"/>
      <c r="AWM341" s="82"/>
      <c r="AWN341" s="82"/>
      <c r="AWO341" s="82"/>
      <c r="AWP341" s="83"/>
      <c r="AWQ341" s="98"/>
      <c r="AWR341" s="85"/>
      <c r="AWS341" s="82"/>
      <c r="AWT341" s="82"/>
      <c r="AWU341" s="86"/>
      <c r="AWV341" s="82"/>
      <c r="AWW341" s="82"/>
      <c r="AWX341" s="82"/>
      <c r="AWY341" s="82"/>
      <c r="AWZ341" s="83"/>
      <c r="AXA341" s="98"/>
      <c r="AXB341" s="85"/>
      <c r="AXC341" s="82"/>
      <c r="AXD341" s="82"/>
      <c r="AXE341" s="86"/>
      <c r="AXF341" s="82"/>
      <c r="AXG341" s="82"/>
      <c r="AXH341" s="82"/>
      <c r="AXI341" s="82"/>
      <c r="AXJ341" s="83"/>
      <c r="AXK341" s="98"/>
      <c r="AXL341" s="85"/>
      <c r="AXM341" s="82"/>
      <c r="AXN341" s="82"/>
      <c r="AXO341" s="86"/>
      <c r="AXP341" s="82"/>
      <c r="AXQ341" s="82"/>
      <c r="AXR341" s="82"/>
      <c r="AXS341" s="82"/>
      <c r="AXT341" s="83"/>
      <c r="AXU341" s="98"/>
      <c r="AXV341" s="85"/>
      <c r="AXW341" s="82"/>
      <c r="AXX341" s="82"/>
      <c r="AXY341" s="86"/>
      <c r="AXZ341" s="82"/>
      <c r="AYA341" s="82"/>
      <c r="AYB341" s="82"/>
      <c r="AYC341" s="82"/>
      <c r="AYD341" s="83"/>
      <c r="AYE341" s="98"/>
      <c r="AYF341" s="85"/>
      <c r="AYG341" s="82"/>
      <c r="AYH341" s="82"/>
      <c r="AYI341" s="86"/>
      <c r="AYJ341" s="82"/>
      <c r="AYK341" s="82"/>
      <c r="AYL341" s="82"/>
      <c r="AYM341" s="82"/>
      <c r="AYN341" s="83"/>
      <c r="AYO341" s="98"/>
      <c r="AYP341" s="85"/>
      <c r="AYQ341" s="82"/>
      <c r="AYR341" s="82"/>
      <c r="AYS341" s="86"/>
      <c r="AYT341" s="82"/>
      <c r="AYU341" s="82"/>
      <c r="AYV341" s="82"/>
      <c r="AYW341" s="82"/>
      <c r="AYX341" s="83"/>
      <c r="AYY341" s="98"/>
      <c r="AYZ341" s="85"/>
      <c r="AZA341" s="82"/>
      <c r="AZB341" s="82"/>
      <c r="AZC341" s="86"/>
      <c r="AZD341" s="82"/>
      <c r="AZE341" s="82"/>
      <c r="AZF341" s="82"/>
      <c r="AZG341" s="82"/>
      <c r="AZH341" s="83"/>
      <c r="AZI341" s="98"/>
      <c r="AZJ341" s="85"/>
      <c r="AZK341" s="82"/>
      <c r="AZL341" s="82"/>
      <c r="AZM341" s="86"/>
      <c r="AZN341" s="82"/>
      <c r="AZO341" s="82"/>
      <c r="AZP341" s="82"/>
      <c r="AZQ341" s="82"/>
      <c r="AZR341" s="83"/>
      <c r="AZS341" s="98"/>
      <c r="AZT341" s="85"/>
      <c r="AZU341" s="82"/>
      <c r="AZV341" s="82"/>
      <c r="AZW341" s="86"/>
      <c r="AZX341" s="82"/>
      <c r="AZY341" s="82"/>
      <c r="AZZ341" s="82"/>
      <c r="BAA341" s="82"/>
      <c r="BAB341" s="83"/>
      <c r="BAC341" s="98"/>
      <c r="BAD341" s="85"/>
      <c r="BAE341" s="82"/>
      <c r="BAF341" s="82"/>
      <c r="BAG341" s="86"/>
      <c r="BAH341" s="82"/>
      <c r="BAI341" s="82"/>
      <c r="BAJ341" s="82"/>
      <c r="BAK341" s="82"/>
      <c r="BAL341" s="83"/>
      <c r="BAM341" s="98"/>
      <c r="BAN341" s="85"/>
      <c r="BAO341" s="82"/>
      <c r="BAP341" s="82"/>
      <c r="BAQ341" s="86"/>
      <c r="BAR341" s="82"/>
      <c r="BAS341" s="82"/>
      <c r="BAT341" s="82"/>
      <c r="BAU341" s="82"/>
      <c r="BAV341" s="83"/>
      <c r="BAW341" s="98"/>
      <c r="BAX341" s="85"/>
      <c r="BAY341" s="82"/>
      <c r="BAZ341" s="82"/>
      <c r="BBA341" s="86"/>
      <c r="BBB341" s="82"/>
      <c r="BBC341" s="82"/>
      <c r="BBD341" s="82"/>
      <c r="BBE341" s="82"/>
      <c r="BBF341" s="83"/>
      <c r="BBG341" s="98"/>
      <c r="BBH341" s="85"/>
      <c r="BBI341" s="82"/>
      <c r="BBJ341" s="82"/>
      <c r="BBK341" s="86"/>
      <c r="BBL341" s="82"/>
      <c r="BBM341" s="82"/>
      <c r="BBN341" s="82"/>
      <c r="BBO341" s="82"/>
      <c r="BBP341" s="83"/>
      <c r="BBQ341" s="98"/>
      <c r="BBR341" s="85"/>
      <c r="BBS341" s="82"/>
      <c r="BBT341" s="82"/>
      <c r="BBU341" s="86"/>
      <c r="BBV341" s="82"/>
      <c r="BBW341" s="82"/>
      <c r="BBX341" s="82"/>
      <c r="BBY341" s="82"/>
      <c r="BBZ341" s="83"/>
      <c r="BCA341" s="98"/>
      <c r="BCB341" s="85"/>
      <c r="BCC341" s="82"/>
      <c r="BCD341" s="82"/>
      <c r="BCE341" s="86"/>
      <c r="BCF341" s="82"/>
      <c r="BCG341" s="82"/>
      <c r="BCH341" s="82"/>
      <c r="BCI341" s="82"/>
      <c r="BCJ341" s="83"/>
      <c r="BCK341" s="98"/>
      <c r="BCL341" s="85"/>
      <c r="BCM341" s="82"/>
      <c r="BCN341" s="82"/>
      <c r="BCO341" s="86"/>
      <c r="BCP341" s="82"/>
      <c r="BCQ341" s="82"/>
      <c r="BCR341" s="82"/>
      <c r="BCS341" s="82"/>
      <c r="BCT341" s="83"/>
      <c r="BCU341" s="98"/>
      <c r="BCV341" s="85"/>
      <c r="BCW341" s="82"/>
      <c r="BCX341" s="82"/>
      <c r="BCY341" s="86"/>
      <c r="BCZ341" s="82"/>
      <c r="BDA341" s="82"/>
      <c r="BDB341" s="82"/>
      <c r="BDC341" s="82"/>
      <c r="BDD341" s="83"/>
      <c r="BDE341" s="98"/>
      <c r="BDF341" s="85"/>
      <c r="BDG341" s="82"/>
      <c r="BDH341" s="82"/>
      <c r="BDI341" s="86"/>
      <c r="BDJ341" s="82"/>
      <c r="BDK341" s="82"/>
      <c r="BDL341" s="82"/>
      <c r="BDM341" s="82"/>
      <c r="BDN341" s="83"/>
      <c r="BDO341" s="98"/>
      <c r="BDP341" s="85"/>
      <c r="BDQ341" s="82"/>
      <c r="BDR341" s="82"/>
      <c r="BDS341" s="86"/>
      <c r="BDT341" s="82"/>
      <c r="BDU341" s="82"/>
      <c r="BDV341" s="82"/>
      <c r="BDW341" s="82"/>
      <c r="BDX341" s="83"/>
      <c r="BDY341" s="98"/>
      <c r="BDZ341" s="85"/>
      <c r="BEA341" s="82"/>
      <c r="BEB341" s="82"/>
      <c r="BEC341" s="86"/>
      <c r="BED341" s="82"/>
      <c r="BEE341" s="82"/>
      <c r="BEF341" s="82"/>
      <c r="BEG341" s="82"/>
      <c r="BEH341" s="83"/>
      <c r="BEI341" s="98"/>
      <c r="BEJ341" s="85"/>
      <c r="BEK341" s="82"/>
      <c r="BEL341" s="82"/>
      <c r="BEM341" s="86"/>
      <c r="BEN341" s="82"/>
      <c r="BEO341" s="82"/>
      <c r="BEP341" s="82"/>
      <c r="BEQ341" s="82"/>
      <c r="BER341" s="83"/>
      <c r="BES341" s="98"/>
      <c r="BET341" s="85"/>
      <c r="BEU341" s="82"/>
      <c r="BEV341" s="82"/>
      <c r="BEW341" s="86"/>
      <c r="BEX341" s="82"/>
      <c r="BEY341" s="82"/>
      <c r="BEZ341" s="82"/>
      <c r="BFA341" s="82"/>
      <c r="BFB341" s="83"/>
      <c r="BFC341" s="98"/>
      <c r="BFD341" s="85"/>
      <c r="BFE341" s="82"/>
      <c r="BFF341" s="82"/>
      <c r="BFG341" s="86"/>
      <c r="BFH341" s="82"/>
      <c r="BFI341" s="82"/>
      <c r="BFJ341" s="82"/>
      <c r="BFK341" s="82"/>
      <c r="BFL341" s="83"/>
      <c r="BFM341" s="98"/>
      <c r="BFN341" s="85"/>
      <c r="BFO341" s="82"/>
      <c r="BFP341" s="82"/>
      <c r="BFQ341" s="86"/>
      <c r="BFR341" s="82"/>
      <c r="BFS341" s="82"/>
      <c r="BFT341" s="82"/>
      <c r="BFU341" s="82"/>
      <c r="BFV341" s="83"/>
      <c r="BFW341" s="98"/>
      <c r="BFX341" s="85"/>
      <c r="BFY341" s="82"/>
      <c r="BFZ341" s="82"/>
      <c r="BGA341" s="86"/>
      <c r="BGB341" s="82"/>
      <c r="BGC341" s="82"/>
      <c r="BGD341" s="82"/>
      <c r="BGE341" s="82"/>
      <c r="BGF341" s="83"/>
      <c r="BGG341" s="98"/>
      <c r="BGH341" s="85"/>
      <c r="BGI341" s="82"/>
      <c r="BGJ341" s="82"/>
      <c r="BGK341" s="86"/>
      <c r="BGL341" s="82"/>
      <c r="BGM341" s="82"/>
      <c r="BGN341" s="82"/>
      <c r="BGO341" s="82"/>
      <c r="BGP341" s="83"/>
      <c r="BGQ341" s="98"/>
      <c r="BGR341" s="85"/>
      <c r="BGS341" s="82"/>
      <c r="BGT341" s="82"/>
      <c r="BGU341" s="86"/>
      <c r="BGV341" s="82"/>
      <c r="BGW341" s="82"/>
      <c r="BGX341" s="82"/>
      <c r="BGY341" s="82"/>
      <c r="BGZ341" s="83"/>
      <c r="BHA341" s="98"/>
      <c r="BHB341" s="85"/>
      <c r="BHC341" s="82"/>
      <c r="BHD341" s="82"/>
      <c r="BHE341" s="86"/>
      <c r="BHF341" s="82"/>
      <c r="BHG341" s="82"/>
      <c r="BHH341" s="82"/>
      <c r="BHI341" s="82"/>
      <c r="BHJ341" s="83"/>
      <c r="BHK341" s="98"/>
      <c r="BHL341" s="85"/>
      <c r="BHM341" s="82"/>
      <c r="BHN341" s="82"/>
      <c r="BHO341" s="86"/>
      <c r="BHP341" s="82"/>
      <c r="BHQ341" s="82"/>
      <c r="BHR341" s="82"/>
      <c r="BHS341" s="82"/>
      <c r="BHT341" s="83"/>
      <c r="BHU341" s="98"/>
      <c r="BHV341" s="85"/>
      <c r="BHW341" s="82"/>
      <c r="BHX341" s="82"/>
      <c r="BHY341" s="86"/>
      <c r="BHZ341" s="82"/>
      <c r="BIA341" s="82"/>
      <c r="BIB341" s="82"/>
      <c r="BIC341" s="82"/>
      <c r="BID341" s="83"/>
      <c r="BIE341" s="98"/>
      <c r="BIF341" s="85"/>
      <c r="BIG341" s="82"/>
      <c r="BIH341" s="82"/>
      <c r="BII341" s="86"/>
      <c r="BIJ341" s="82"/>
      <c r="BIK341" s="82"/>
      <c r="BIL341" s="82"/>
      <c r="BIM341" s="82"/>
      <c r="BIN341" s="83"/>
      <c r="BIO341" s="98"/>
      <c r="BIP341" s="85"/>
      <c r="BIQ341" s="82"/>
      <c r="BIR341" s="82"/>
      <c r="BIS341" s="86"/>
      <c r="BIT341" s="82"/>
      <c r="BIU341" s="82"/>
      <c r="BIV341" s="82"/>
      <c r="BIW341" s="82"/>
      <c r="BIX341" s="83"/>
      <c r="BIY341" s="98"/>
      <c r="BIZ341" s="85"/>
      <c r="BJA341" s="82"/>
      <c r="BJB341" s="82"/>
      <c r="BJC341" s="86"/>
      <c r="BJD341" s="82"/>
      <c r="BJE341" s="82"/>
      <c r="BJF341" s="82"/>
      <c r="BJG341" s="82"/>
      <c r="BJH341" s="83"/>
      <c r="BJI341" s="98"/>
      <c r="BJJ341" s="85"/>
      <c r="BJK341" s="82"/>
      <c r="BJL341" s="82"/>
      <c r="BJM341" s="86"/>
      <c r="BJN341" s="82"/>
      <c r="BJO341" s="82"/>
      <c r="BJP341" s="82"/>
      <c r="BJQ341" s="82"/>
      <c r="BJR341" s="83"/>
      <c r="BJS341" s="98"/>
      <c r="BJT341" s="85"/>
      <c r="BJU341" s="82"/>
      <c r="BJV341" s="82"/>
      <c r="BJW341" s="86"/>
      <c r="BJX341" s="82"/>
      <c r="BJY341" s="82"/>
      <c r="BJZ341" s="82"/>
      <c r="BKA341" s="82"/>
      <c r="BKB341" s="83"/>
      <c r="BKC341" s="98"/>
      <c r="BKD341" s="85"/>
      <c r="BKE341" s="82"/>
      <c r="BKF341" s="82"/>
      <c r="BKG341" s="86"/>
      <c r="BKH341" s="82"/>
      <c r="BKI341" s="82"/>
      <c r="BKJ341" s="82"/>
      <c r="BKK341" s="82"/>
      <c r="BKL341" s="83"/>
      <c r="BKM341" s="98"/>
      <c r="BKN341" s="85"/>
      <c r="BKO341" s="82"/>
      <c r="BKP341" s="82"/>
      <c r="BKQ341" s="86"/>
      <c r="BKR341" s="82"/>
      <c r="BKS341" s="82"/>
      <c r="BKT341" s="82"/>
      <c r="BKU341" s="82"/>
      <c r="BKV341" s="83"/>
      <c r="BKW341" s="98"/>
      <c r="BKX341" s="85"/>
      <c r="BKY341" s="82"/>
      <c r="BKZ341" s="82"/>
      <c r="BLA341" s="86"/>
      <c r="BLB341" s="82"/>
      <c r="BLC341" s="82"/>
      <c r="BLD341" s="82"/>
      <c r="BLE341" s="82"/>
      <c r="BLF341" s="83"/>
      <c r="BLG341" s="98"/>
      <c r="BLH341" s="85"/>
      <c r="BLI341" s="82"/>
      <c r="BLJ341" s="82"/>
      <c r="BLK341" s="86"/>
      <c r="BLL341" s="82"/>
      <c r="BLM341" s="82"/>
      <c r="BLN341" s="82"/>
      <c r="BLO341" s="82"/>
      <c r="BLP341" s="83"/>
      <c r="BLQ341" s="98"/>
      <c r="BLR341" s="85"/>
      <c r="BLS341" s="82"/>
      <c r="BLT341" s="82"/>
      <c r="BLU341" s="86"/>
      <c r="BLV341" s="82"/>
      <c r="BLW341" s="82"/>
      <c r="BLX341" s="82"/>
      <c r="BLY341" s="82"/>
      <c r="BLZ341" s="83"/>
      <c r="BMA341" s="98"/>
      <c r="BMB341" s="85"/>
      <c r="BMC341" s="82"/>
      <c r="BMD341" s="82"/>
      <c r="BME341" s="86"/>
      <c r="BMF341" s="82"/>
      <c r="BMG341" s="82"/>
      <c r="BMH341" s="82"/>
      <c r="BMI341" s="82"/>
      <c r="BMJ341" s="83"/>
      <c r="BMK341" s="98"/>
      <c r="BML341" s="85"/>
      <c r="BMM341" s="82"/>
      <c r="BMN341" s="82"/>
      <c r="BMO341" s="86"/>
      <c r="BMP341" s="82"/>
      <c r="BMQ341" s="82"/>
      <c r="BMR341" s="82"/>
      <c r="BMS341" s="82"/>
      <c r="BMT341" s="83"/>
      <c r="BMU341" s="98"/>
      <c r="BMV341" s="85"/>
      <c r="BMW341" s="82"/>
      <c r="BMX341" s="82"/>
      <c r="BMY341" s="86"/>
      <c r="BMZ341" s="82"/>
      <c r="BNA341" s="82"/>
      <c r="BNB341" s="82"/>
      <c r="BNC341" s="82"/>
      <c r="BND341" s="83"/>
      <c r="BNE341" s="98"/>
      <c r="BNF341" s="85"/>
      <c r="BNG341" s="82"/>
      <c r="BNH341" s="82"/>
      <c r="BNI341" s="86"/>
      <c r="BNJ341" s="82"/>
      <c r="BNK341" s="82"/>
      <c r="BNL341" s="82"/>
      <c r="BNM341" s="82"/>
      <c r="BNN341" s="83"/>
      <c r="BNO341" s="98"/>
      <c r="BNP341" s="85"/>
      <c r="BNQ341" s="82"/>
      <c r="BNR341" s="82"/>
      <c r="BNS341" s="86"/>
      <c r="BNT341" s="82"/>
      <c r="BNU341" s="82"/>
      <c r="BNV341" s="82"/>
      <c r="BNW341" s="82"/>
      <c r="BNX341" s="83"/>
      <c r="BNY341" s="98"/>
      <c r="BNZ341" s="85"/>
      <c r="BOA341" s="82"/>
      <c r="BOB341" s="82"/>
      <c r="BOC341" s="86"/>
      <c r="BOD341" s="82"/>
      <c r="BOE341" s="82"/>
      <c r="BOF341" s="82"/>
      <c r="BOG341" s="82"/>
      <c r="BOH341" s="83"/>
      <c r="BOI341" s="98"/>
      <c r="BOJ341" s="85"/>
      <c r="BOK341" s="82"/>
      <c r="BOL341" s="82"/>
      <c r="BOM341" s="86"/>
      <c r="BON341" s="82"/>
      <c r="BOO341" s="82"/>
      <c r="BOP341" s="82"/>
      <c r="BOQ341" s="82"/>
      <c r="BOR341" s="83"/>
      <c r="BOS341" s="98"/>
      <c r="BOT341" s="85"/>
      <c r="BOU341" s="82"/>
      <c r="BOV341" s="82"/>
      <c r="BOW341" s="86"/>
      <c r="BOX341" s="82"/>
      <c r="BOY341" s="82"/>
      <c r="BOZ341" s="82"/>
      <c r="BPA341" s="82"/>
      <c r="BPB341" s="83"/>
      <c r="BPC341" s="98"/>
      <c r="BPD341" s="85"/>
      <c r="BPE341" s="82"/>
      <c r="BPF341" s="82"/>
      <c r="BPG341" s="86"/>
      <c r="BPH341" s="82"/>
      <c r="BPI341" s="82"/>
      <c r="BPJ341" s="82"/>
      <c r="BPK341" s="82"/>
      <c r="BPL341" s="83"/>
      <c r="BPM341" s="98"/>
      <c r="BPN341" s="85"/>
      <c r="BPO341" s="82"/>
      <c r="BPP341" s="82"/>
      <c r="BPQ341" s="86"/>
      <c r="BPR341" s="82"/>
      <c r="BPS341" s="82"/>
      <c r="BPT341" s="82"/>
      <c r="BPU341" s="82"/>
      <c r="BPV341" s="83"/>
      <c r="BPW341" s="98"/>
      <c r="BPX341" s="85"/>
      <c r="BPY341" s="82"/>
      <c r="BPZ341" s="82"/>
      <c r="BQA341" s="86"/>
      <c r="BQB341" s="82"/>
      <c r="BQC341" s="82"/>
      <c r="BQD341" s="82"/>
      <c r="BQE341" s="82"/>
      <c r="BQF341" s="83"/>
      <c r="BQG341" s="98"/>
      <c r="BQH341" s="85"/>
      <c r="BQI341" s="82"/>
      <c r="BQJ341" s="82"/>
      <c r="BQK341" s="86"/>
      <c r="BQL341" s="82"/>
      <c r="BQM341" s="82"/>
      <c r="BQN341" s="82"/>
      <c r="BQO341" s="82"/>
      <c r="BQP341" s="83"/>
      <c r="BQQ341" s="98"/>
      <c r="BQR341" s="85"/>
      <c r="BQS341" s="82"/>
      <c r="BQT341" s="82"/>
      <c r="BQU341" s="86"/>
      <c r="BQV341" s="82"/>
      <c r="BQW341" s="82"/>
      <c r="BQX341" s="82"/>
      <c r="BQY341" s="82"/>
      <c r="BQZ341" s="83"/>
      <c r="BRA341" s="98"/>
      <c r="BRB341" s="85"/>
      <c r="BRC341" s="82"/>
      <c r="BRD341" s="82"/>
      <c r="BRE341" s="86"/>
      <c r="BRF341" s="82"/>
      <c r="BRG341" s="82"/>
      <c r="BRH341" s="82"/>
      <c r="BRI341" s="82"/>
      <c r="BRJ341" s="83"/>
      <c r="BRK341" s="98"/>
      <c r="BRL341" s="85"/>
      <c r="BRM341" s="82"/>
      <c r="BRN341" s="82"/>
      <c r="BRO341" s="86"/>
      <c r="BRP341" s="82"/>
      <c r="BRQ341" s="82"/>
      <c r="BRR341" s="82"/>
      <c r="BRS341" s="82"/>
      <c r="BRT341" s="83"/>
      <c r="BRU341" s="98"/>
      <c r="BRV341" s="85"/>
      <c r="BRW341" s="82"/>
      <c r="BRX341" s="82"/>
      <c r="BRY341" s="86"/>
      <c r="BRZ341" s="82"/>
      <c r="BSA341" s="82"/>
      <c r="BSB341" s="82"/>
      <c r="BSC341" s="82"/>
      <c r="BSD341" s="83"/>
      <c r="BSE341" s="98"/>
      <c r="BSF341" s="85"/>
      <c r="BSG341" s="82"/>
      <c r="BSH341" s="82"/>
      <c r="BSI341" s="86"/>
      <c r="BSJ341" s="82"/>
      <c r="BSK341" s="82"/>
      <c r="BSL341" s="82"/>
      <c r="BSM341" s="82"/>
      <c r="BSN341" s="83"/>
      <c r="BSO341" s="98"/>
      <c r="BSP341" s="85"/>
      <c r="BSQ341" s="82"/>
      <c r="BSR341" s="82"/>
      <c r="BSS341" s="86"/>
      <c r="BST341" s="82"/>
      <c r="BSU341" s="82"/>
      <c r="BSV341" s="82"/>
      <c r="BSW341" s="82"/>
      <c r="BSX341" s="83"/>
      <c r="BSY341" s="98"/>
      <c r="BSZ341" s="85"/>
      <c r="BTA341" s="82"/>
      <c r="BTB341" s="82"/>
      <c r="BTC341" s="86"/>
      <c r="BTD341" s="82"/>
      <c r="BTE341" s="82"/>
      <c r="BTF341" s="82"/>
      <c r="BTG341" s="82"/>
      <c r="BTH341" s="83"/>
      <c r="BTI341" s="98"/>
      <c r="BTJ341" s="85"/>
      <c r="BTK341" s="82"/>
      <c r="BTL341" s="82"/>
      <c r="BTM341" s="86"/>
      <c r="BTN341" s="82"/>
      <c r="BTO341" s="82"/>
      <c r="BTP341" s="82"/>
      <c r="BTQ341" s="82"/>
      <c r="BTR341" s="83"/>
      <c r="BTS341" s="98"/>
      <c r="BTT341" s="85"/>
      <c r="BTU341" s="82"/>
      <c r="BTV341" s="82"/>
      <c r="BTW341" s="86"/>
      <c r="BTX341" s="82"/>
      <c r="BTY341" s="82"/>
      <c r="BTZ341" s="82"/>
      <c r="BUA341" s="82"/>
      <c r="BUB341" s="83"/>
      <c r="BUC341" s="98"/>
      <c r="BUD341" s="85"/>
      <c r="BUE341" s="82"/>
      <c r="BUF341" s="82"/>
      <c r="BUG341" s="86"/>
      <c r="BUH341" s="82"/>
      <c r="BUI341" s="82"/>
      <c r="BUJ341" s="82"/>
      <c r="BUK341" s="82"/>
      <c r="BUL341" s="83"/>
      <c r="BUM341" s="98"/>
      <c r="BUN341" s="85"/>
      <c r="BUO341" s="82"/>
      <c r="BUP341" s="82"/>
      <c r="BUQ341" s="86"/>
      <c r="BUR341" s="82"/>
      <c r="BUS341" s="82"/>
      <c r="BUT341" s="82"/>
      <c r="BUU341" s="82"/>
      <c r="BUV341" s="83"/>
      <c r="BUW341" s="98"/>
      <c r="BUX341" s="85"/>
      <c r="BUY341" s="82"/>
      <c r="BUZ341" s="82"/>
      <c r="BVA341" s="86"/>
      <c r="BVB341" s="82"/>
      <c r="BVC341" s="82"/>
      <c r="BVD341" s="82"/>
      <c r="BVE341" s="82"/>
      <c r="BVF341" s="83"/>
      <c r="BVG341" s="98"/>
      <c r="BVH341" s="85"/>
      <c r="BVI341" s="82"/>
      <c r="BVJ341" s="82"/>
      <c r="BVK341" s="86"/>
      <c r="BVL341" s="82"/>
      <c r="BVM341" s="82"/>
      <c r="BVN341" s="82"/>
      <c r="BVO341" s="82"/>
      <c r="BVP341" s="83"/>
      <c r="BVQ341" s="98"/>
      <c r="BVR341" s="85"/>
      <c r="BVS341" s="82"/>
      <c r="BVT341" s="82"/>
      <c r="BVU341" s="86"/>
      <c r="BVV341" s="82"/>
      <c r="BVW341" s="82"/>
      <c r="BVX341" s="82"/>
      <c r="BVY341" s="82"/>
      <c r="BVZ341" s="83"/>
      <c r="BWA341" s="98"/>
      <c r="BWB341" s="85"/>
      <c r="BWC341" s="82"/>
      <c r="BWD341" s="82"/>
      <c r="BWE341" s="86"/>
      <c r="BWF341" s="82"/>
      <c r="BWG341" s="82"/>
      <c r="BWH341" s="82"/>
      <c r="BWI341" s="82"/>
      <c r="BWJ341" s="83"/>
      <c r="BWK341" s="98"/>
      <c r="BWL341" s="85"/>
      <c r="BWM341" s="82"/>
      <c r="BWN341" s="82"/>
      <c r="BWO341" s="86"/>
      <c r="BWP341" s="82"/>
      <c r="BWQ341" s="82"/>
      <c r="BWR341" s="82"/>
      <c r="BWS341" s="82"/>
      <c r="BWT341" s="83"/>
      <c r="BWU341" s="98"/>
      <c r="BWV341" s="85"/>
      <c r="BWW341" s="82"/>
      <c r="BWX341" s="82"/>
      <c r="BWY341" s="86"/>
      <c r="BWZ341" s="82"/>
      <c r="BXA341" s="82"/>
      <c r="BXB341" s="82"/>
      <c r="BXC341" s="82"/>
      <c r="BXD341" s="83"/>
      <c r="BXE341" s="98"/>
      <c r="BXF341" s="85"/>
      <c r="BXG341" s="82"/>
      <c r="BXH341" s="82"/>
      <c r="BXI341" s="86"/>
      <c r="BXJ341" s="82"/>
      <c r="BXK341" s="82"/>
      <c r="BXL341" s="82"/>
      <c r="BXM341" s="82"/>
      <c r="BXN341" s="83"/>
      <c r="BXO341" s="98"/>
      <c r="BXP341" s="85"/>
      <c r="BXQ341" s="82"/>
      <c r="BXR341" s="82"/>
      <c r="BXS341" s="86"/>
      <c r="BXT341" s="82"/>
      <c r="BXU341" s="82"/>
      <c r="BXV341" s="82"/>
      <c r="BXW341" s="82"/>
      <c r="BXX341" s="83"/>
      <c r="BXY341" s="98"/>
      <c r="BXZ341" s="85"/>
      <c r="BYA341" s="82"/>
      <c r="BYB341" s="82"/>
      <c r="BYC341" s="86"/>
      <c r="BYD341" s="82"/>
      <c r="BYE341" s="82"/>
      <c r="BYF341" s="82"/>
      <c r="BYG341" s="82"/>
      <c r="BYH341" s="83"/>
      <c r="BYI341" s="98"/>
      <c r="BYJ341" s="85"/>
      <c r="BYK341" s="82"/>
      <c r="BYL341" s="82"/>
      <c r="BYM341" s="86"/>
      <c r="BYN341" s="82"/>
      <c r="BYO341" s="82"/>
      <c r="BYP341" s="82"/>
      <c r="BYQ341" s="82"/>
      <c r="BYR341" s="83"/>
      <c r="BYS341" s="98"/>
      <c r="BYT341" s="85"/>
      <c r="BYU341" s="82"/>
      <c r="BYV341" s="82"/>
      <c r="BYW341" s="86"/>
      <c r="BYX341" s="82"/>
      <c r="BYY341" s="82"/>
      <c r="BYZ341" s="82"/>
      <c r="BZA341" s="82"/>
      <c r="BZB341" s="83"/>
      <c r="BZC341" s="98"/>
      <c r="BZD341" s="85"/>
      <c r="BZE341" s="82"/>
      <c r="BZF341" s="82"/>
      <c r="BZG341" s="86"/>
      <c r="BZH341" s="82"/>
      <c r="BZI341" s="82"/>
      <c r="BZJ341" s="82"/>
      <c r="BZK341" s="82"/>
      <c r="BZL341" s="83"/>
      <c r="BZM341" s="98"/>
      <c r="BZN341" s="85"/>
      <c r="BZO341" s="82"/>
      <c r="BZP341" s="82"/>
      <c r="BZQ341" s="86"/>
      <c r="BZR341" s="82"/>
      <c r="BZS341" s="82"/>
      <c r="BZT341" s="82"/>
      <c r="BZU341" s="82"/>
      <c r="BZV341" s="83"/>
      <c r="BZW341" s="98"/>
      <c r="BZX341" s="85"/>
      <c r="BZY341" s="82"/>
      <c r="BZZ341" s="82"/>
      <c r="CAA341" s="86"/>
      <c r="CAB341" s="82"/>
      <c r="CAC341" s="82"/>
      <c r="CAD341" s="82"/>
      <c r="CAE341" s="82"/>
      <c r="CAF341" s="83"/>
      <c r="CAG341" s="98"/>
      <c r="CAH341" s="85"/>
      <c r="CAI341" s="82"/>
      <c r="CAJ341" s="82"/>
      <c r="CAK341" s="86"/>
      <c r="CAL341" s="82"/>
      <c r="CAM341" s="82"/>
      <c r="CAN341" s="82"/>
      <c r="CAO341" s="82"/>
      <c r="CAP341" s="83"/>
      <c r="CAQ341" s="98"/>
      <c r="CAR341" s="85"/>
      <c r="CAS341" s="82"/>
      <c r="CAT341" s="82"/>
      <c r="CAU341" s="86"/>
      <c r="CAV341" s="82"/>
      <c r="CAW341" s="82"/>
      <c r="CAX341" s="82"/>
      <c r="CAY341" s="82"/>
      <c r="CAZ341" s="83"/>
      <c r="CBA341" s="98"/>
      <c r="CBB341" s="85"/>
      <c r="CBC341" s="82"/>
      <c r="CBD341" s="82"/>
      <c r="CBE341" s="86"/>
      <c r="CBF341" s="82"/>
      <c r="CBG341" s="82"/>
      <c r="CBH341" s="82"/>
      <c r="CBI341" s="82"/>
      <c r="CBJ341" s="83"/>
      <c r="CBK341" s="98"/>
      <c r="CBL341" s="85"/>
      <c r="CBM341" s="82"/>
      <c r="CBN341" s="82"/>
      <c r="CBO341" s="86"/>
      <c r="CBP341" s="82"/>
      <c r="CBQ341" s="82"/>
      <c r="CBR341" s="82"/>
      <c r="CBS341" s="82"/>
      <c r="CBT341" s="83"/>
      <c r="CBU341" s="98"/>
      <c r="CBV341" s="85"/>
      <c r="CBW341" s="82"/>
      <c r="CBX341" s="82"/>
      <c r="CBY341" s="86"/>
      <c r="CBZ341" s="82"/>
      <c r="CCA341" s="82"/>
      <c r="CCB341" s="82"/>
      <c r="CCC341" s="82"/>
      <c r="CCD341" s="83"/>
      <c r="CCE341" s="98"/>
      <c r="CCF341" s="85"/>
      <c r="CCG341" s="82"/>
      <c r="CCH341" s="82"/>
      <c r="CCI341" s="86"/>
      <c r="CCJ341" s="82"/>
      <c r="CCK341" s="82"/>
      <c r="CCL341" s="82"/>
      <c r="CCM341" s="82"/>
      <c r="CCN341" s="83"/>
      <c r="CCO341" s="98"/>
      <c r="CCP341" s="85"/>
      <c r="CCQ341" s="82"/>
      <c r="CCR341" s="82"/>
      <c r="CCS341" s="86"/>
      <c r="CCT341" s="82"/>
      <c r="CCU341" s="82"/>
      <c r="CCV341" s="82"/>
      <c r="CCW341" s="82"/>
      <c r="CCX341" s="83"/>
      <c r="CCY341" s="98"/>
      <c r="CCZ341" s="85"/>
      <c r="CDA341" s="82"/>
      <c r="CDB341" s="82"/>
      <c r="CDC341" s="86"/>
      <c r="CDD341" s="82"/>
      <c r="CDE341" s="82"/>
      <c r="CDF341" s="82"/>
      <c r="CDG341" s="82"/>
      <c r="CDH341" s="83"/>
      <c r="CDI341" s="98"/>
      <c r="CDJ341" s="85"/>
      <c r="CDK341" s="82"/>
      <c r="CDL341" s="82"/>
      <c r="CDM341" s="86"/>
      <c r="CDN341" s="82"/>
      <c r="CDO341" s="82"/>
      <c r="CDP341" s="82"/>
      <c r="CDQ341" s="82"/>
      <c r="CDR341" s="83"/>
      <c r="CDS341" s="98"/>
      <c r="CDT341" s="85"/>
      <c r="CDU341" s="82"/>
      <c r="CDV341" s="82"/>
      <c r="CDW341" s="86"/>
      <c r="CDX341" s="82"/>
      <c r="CDY341" s="82"/>
      <c r="CDZ341" s="82"/>
      <c r="CEA341" s="82"/>
      <c r="CEB341" s="83"/>
      <c r="CEC341" s="98"/>
      <c r="CED341" s="85"/>
      <c r="CEE341" s="82"/>
      <c r="CEF341" s="82"/>
      <c r="CEG341" s="86"/>
      <c r="CEH341" s="82"/>
      <c r="CEI341" s="82"/>
      <c r="CEJ341" s="82"/>
      <c r="CEK341" s="82"/>
      <c r="CEL341" s="83"/>
      <c r="CEM341" s="98"/>
      <c r="CEN341" s="85"/>
      <c r="CEO341" s="82"/>
      <c r="CEP341" s="82"/>
      <c r="CEQ341" s="86"/>
      <c r="CER341" s="82"/>
      <c r="CES341" s="82"/>
      <c r="CET341" s="82"/>
      <c r="CEU341" s="82"/>
      <c r="CEV341" s="83"/>
      <c r="CEW341" s="98"/>
      <c r="CEX341" s="85"/>
      <c r="CEY341" s="82"/>
      <c r="CEZ341" s="82"/>
      <c r="CFA341" s="86"/>
      <c r="CFB341" s="82"/>
      <c r="CFC341" s="82"/>
      <c r="CFD341" s="82"/>
      <c r="CFE341" s="82"/>
      <c r="CFF341" s="83"/>
      <c r="CFG341" s="98"/>
      <c r="CFH341" s="85"/>
      <c r="CFI341" s="82"/>
      <c r="CFJ341" s="82"/>
      <c r="CFK341" s="86"/>
      <c r="CFL341" s="82"/>
      <c r="CFM341" s="82"/>
      <c r="CFN341" s="82"/>
      <c r="CFO341" s="82"/>
      <c r="CFP341" s="83"/>
      <c r="CFQ341" s="98"/>
      <c r="CFR341" s="85"/>
      <c r="CFS341" s="82"/>
      <c r="CFT341" s="82"/>
      <c r="CFU341" s="86"/>
      <c r="CFV341" s="82"/>
      <c r="CFW341" s="82"/>
      <c r="CFX341" s="82"/>
      <c r="CFY341" s="82"/>
      <c r="CFZ341" s="83"/>
      <c r="CGA341" s="98"/>
      <c r="CGB341" s="85"/>
      <c r="CGC341" s="82"/>
      <c r="CGD341" s="82"/>
      <c r="CGE341" s="86"/>
      <c r="CGF341" s="82"/>
      <c r="CGG341" s="82"/>
      <c r="CGH341" s="82"/>
      <c r="CGI341" s="82"/>
      <c r="CGJ341" s="83"/>
      <c r="CGK341" s="98"/>
      <c r="CGL341" s="85"/>
      <c r="CGM341" s="82"/>
      <c r="CGN341" s="82"/>
      <c r="CGO341" s="86"/>
      <c r="CGP341" s="82"/>
      <c r="CGQ341" s="82"/>
      <c r="CGR341" s="82"/>
      <c r="CGS341" s="82"/>
      <c r="CGT341" s="83"/>
      <c r="CGU341" s="98"/>
      <c r="CGV341" s="85"/>
      <c r="CGW341" s="82"/>
      <c r="CGX341" s="82"/>
      <c r="CGY341" s="86"/>
      <c r="CGZ341" s="82"/>
      <c r="CHA341" s="82"/>
      <c r="CHB341" s="82"/>
      <c r="CHC341" s="82"/>
      <c r="CHD341" s="83"/>
      <c r="CHE341" s="98"/>
      <c r="CHF341" s="85"/>
      <c r="CHG341" s="82"/>
      <c r="CHH341" s="82"/>
      <c r="CHI341" s="86"/>
      <c r="CHJ341" s="82"/>
      <c r="CHK341" s="82"/>
      <c r="CHL341" s="82"/>
      <c r="CHM341" s="82"/>
      <c r="CHN341" s="83"/>
      <c r="CHO341" s="98"/>
      <c r="CHP341" s="85"/>
      <c r="CHQ341" s="82"/>
      <c r="CHR341" s="82"/>
      <c r="CHS341" s="86"/>
      <c r="CHT341" s="82"/>
      <c r="CHU341" s="82"/>
      <c r="CHV341" s="82"/>
      <c r="CHW341" s="82"/>
      <c r="CHX341" s="83"/>
      <c r="CHY341" s="98"/>
      <c r="CHZ341" s="85"/>
      <c r="CIA341" s="82"/>
      <c r="CIB341" s="82"/>
      <c r="CIC341" s="86"/>
      <c r="CID341" s="82"/>
      <c r="CIE341" s="82"/>
      <c r="CIF341" s="82"/>
      <c r="CIG341" s="82"/>
      <c r="CIH341" s="83"/>
      <c r="CII341" s="98"/>
      <c r="CIJ341" s="85"/>
      <c r="CIK341" s="82"/>
      <c r="CIL341" s="82"/>
      <c r="CIM341" s="86"/>
      <c r="CIN341" s="82"/>
      <c r="CIO341" s="82"/>
      <c r="CIP341" s="82"/>
      <c r="CIQ341" s="82"/>
      <c r="CIR341" s="83"/>
      <c r="CIS341" s="98"/>
      <c r="CIT341" s="85"/>
      <c r="CIU341" s="82"/>
      <c r="CIV341" s="82"/>
      <c r="CIW341" s="86"/>
      <c r="CIX341" s="82"/>
      <c r="CIY341" s="82"/>
      <c r="CIZ341" s="82"/>
      <c r="CJA341" s="82"/>
      <c r="CJB341" s="83"/>
      <c r="CJC341" s="98"/>
      <c r="CJD341" s="85"/>
      <c r="CJE341" s="82"/>
      <c r="CJF341" s="82"/>
      <c r="CJG341" s="86"/>
      <c r="CJH341" s="82"/>
      <c r="CJI341" s="82"/>
      <c r="CJJ341" s="82"/>
      <c r="CJK341" s="82"/>
      <c r="CJL341" s="83"/>
      <c r="CJM341" s="98"/>
      <c r="CJN341" s="85"/>
      <c r="CJO341" s="82"/>
      <c r="CJP341" s="82"/>
      <c r="CJQ341" s="86"/>
      <c r="CJR341" s="82"/>
      <c r="CJS341" s="82"/>
      <c r="CJT341" s="82"/>
      <c r="CJU341" s="82"/>
      <c r="CJV341" s="83"/>
      <c r="CJW341" s="98"/>
      <c r="CJX341" s="85"/>
      <c r="CJY341" s="82"/>
      <c r="CJZ341" s="82"/>
      <c r="CKA341" s="86"/>
      <c r="CKB341" s="82"/>
      <c r="CKC341" s="82"/>
      <c r="CKD341" s="82"/>
      <c r="CKE341" s="82"/>
      <c r="CKF341" s="83"/>
      <c r="CKG341" s="98"/>
      <c r="CKH341" s="85"/>
      <c r="CKI341" s="82"/>
      <c r="CKJ341" s="82"/>
      <c r="CKK341" s="86"/>
      <c r="CKL341" s="82"/>
      <c r="CKM341" s="82"/>
      <c r="CKN341" s="82"/>
      <c r="CKO341" s="82"/>
      <c r="CKP341" s="83"/>
      <c r="CKQ341" s="98"/>
      <c r="CKR341" s="85"/>
      <c r="CKS341" s="82"/>
      <c r="CKT341" s="82"/>
      <c r="CKU341" s="86"/>
      <c r="CKV341" s="82"/>
      <c r="CKW341" s="82"/>
      <c r="CKX341" s="82"/>
      <c r="CKY341" s="82"/>
      <c r="CKZ341" s="83"/>
      <c r="CLA341" s="98"/>
      <c r="CLB341" s="85"/>
      <c r="CLC341" s="82"/>
      <c r="CLD341" s="82"/>
      <c r="CLE341" s="86"/>
      <c r="CLF341" s="82"/>
      <c r="CLG341" s="82"/>
      <c r="CLH341" s="82"/>
      <c r="CLI341" s="82"/>
      <c r="CLJ341" s="83"/>
      <c r="CLK341" s="98"/>
      <c r="CLL341" s="85"/>
      <c r="CLM341" s="82"/>
      <c r="CLN341" s="82"/>
      <c r="CLO341" s="86"/>
      <c r="CLP341" s="82"/>
      <c r="CLQ341" s="82"/>
      <c r="CLR341" s="82"/>
      <c r="CLS341" s="82"/>
      <c r="CLT341" s="83"/>
      <c r="CLU341" s="98"/>
      <c r="CLV341" s="85"/>
      <c r="CLW341" s="82"/>
      <c r="CLX341" s="82"/>
      <c r="CLY341" s="86"/>
      <c r="CLZ341" s="82"/>
      <c r="CMA341" s="82"/>
      <c r="CMB341" s="82"/>
      <c r="CMC341" s="82"/>
      <c r="CMD341" s="83"/>
      <c r="CME341" s="98"/>
      <c r="CMF341" s="85"/>
      <c r="CMG341" s="82"/>
      <c r="CMH341" s="82"/>
      <c r="CMI341" s="86"/>
      <c r="CMJ341" s="82"/>
      <c r="CMK341" s="82"/>
      <c r="CML341" s="82"/>
      <c r="CMM341" s="82"/>
      <c r="CMN341" s="83"/>
      <c r="CMO341" s="98"/>
      <c r="CMP341" s="85"/>
      <c r="CMQ341" s="82"/>
      <c r="CMR341" s="82"/>
      <c r="CMS341" s="86"/>
      <c r="CMT341" s="82"/>
      <c r="CMU341" s="82"/>
      <c r="CMV341" s="82"/>
      <c r="CMW341" s="82"/>
      <c r="CMX341" s="83"/>
      <c r="CMY341" s="98"/>
      <c r="CMZ341" s="85"/>
      <c r="CNA341" s="82"/>
      <c r="CNB341" s="82"/>
      <c r="CNC341" s="86"/>
      <c r="CND341" s="82"/>
      <c r="CNE341" s="82"/>
      <c r="CNF341" s="82"/>
      <c r="CNG341" s="82"/>
      <c r="CNH341" s="83"/>
      <c r="CNI341" s="98"/>
      <c r="CNJ341" s="85"/>
      <c r="CNK341" s="82"/>
      <c r="CNL341" s="82"/>
      <c r="CNM341" s="86"/>
      <c r="CNN341" s="82"/>
      <c r="CNO341" s="82"/>
      <c r="CNP341" s="82"/>
      <c r="CNQ341" s="82"/>
      <c r="CNR341" s="83"/>
      <c r="CNS341" s="98"/>
      <c r="CNT341" s="85"/>
      <c r="CNU341" s="82"/>
      <c r="CNV341" s="82"/>
      <c r="CNW341" s="86"/>
      <c r="CNX341" s="82"/>
      <c r="CNY341" s="82"/>
      <c r="CNZ341" s="82"/>
      <c r="COA341" s="82"/>
      <c r="COB341" s="83"/>
      <c r="COC341" s="98"/>
      <c r="COD341" s="85"/>
      <c r="COE341" s="82"/>
      <c r="COF341" s="82"/>
      <c r="COG341" s="86"/>
      <c r="COH341" s="82"/>
      <c r="COI341" s="82"/>
      <c r="COJ341" s="82"/>
      <c r="COK341" s="82"/>
      <c r="COL341" s="83"/>
      <c r="COM341" s="98"/>
      <c r="CON341" s="85"/>
      <c r="COO341" s="82"/>
      <c r="COP341" s="82"/>
      <c r="COQ341" s="86"/>
      <c r="COR341" s="82"/>
      <c r="COS341" s="82"/>
      <c r="COT341" s="82"/>
      <c r="COU341" s="82"/>
      <c r="COV341" s="83"/>
      <c r="COW341" s="98"/>
      <c r="COX341" s="85"/>
      <c r="COY341" s="82"/>
      <c r="COZ341" s="82"/>
      <c r="CPA341" s="86"/>
      <c r="CPB341" s="82"/>
      <c r="CPC341" s="82"/>
      <c r="CPD341" s="82"/>
      <c r="CPE341" s="82"/>
      <c r="CPF341" s="83"/>
      <c r="CPG341" s="98"/>
      <c r="CPH341" s="85"/>
      <c r="CPI341" s="82"/>
      <c r="CPJ341" s="82"/>
      <c r="CPK341" s="86"/>
      <c r="CPL341" s="82"/>
      <c r="CPM341" s="82"/>
      <c r="CPN341" s="82"/>
      <c r="CPO341" s="82"/>
      <c r="CPP341" s="83"/>
      <c r="CPQ341" s="98"/>
      <c r="CPR341" s="85"/>
      <c r="CPS341" s="82"/>
      <c r="CPT341" s="82"/>
      <c r="CPU341" s="86"/>
      <c r="CPV341" s="82"/>
      <c r="CPW341" s="82"/>
      <c r="CPX341" s="82"/>
      <c r="CPY341" s="82"/>
      <c r="CPZ341" s="83"/>
      <c r="CQA341" s="98"/>
      <c r="CQB341" s="85"/>
      <c r="CQC341" s="82"/>
      <c r="CQD341" s="82"/>
      <c r="CQE341" s="86"/>
      <c r="CQF341" s="82"/>
      <c r="CQG341" s="82"/>
      <c r="CQH341" s="82"/>
      <c r="CQI341" s="82"/>
      <c r="CQJ341" s="83"/>
      <c r="CQK341" s="98"/>
      <c r="CQL341" s="85"/>
      <c r="CQM341" s="82"/>
      <c r="CQN341" s="82"/>
      <c r="CQO341" s="86"/>
      <c r="CQP341" s="82"/>
      <c r="CQQ341" s="82"/>
      <c r="CQR341" s="82"/>
      <c r="CQS341" s="82"/>
      <c r="CQT341" s="83"/>
      <c r="CQU341" s="98"/>
      <c r="CQV341" s="85"/>
      <c r="CQW341" s="82"/>
      <c r="CQX341" s="82"/>
      <c r="CQY341" s="86"/>
      <c r="CQZ341" s="82"/>
      <c r="CRA341" s="82"/>
      <c r="CRB341" s="82"/>
      <c r="CRC341" s="82"/>
      <c r="CRD341" s="83"/>
      <c r="CRE341" s="98"/>
      <c r="CRF341" s="85"/>
      <c r="CRG341" s="82"/>
      <c r="CRH341" s="82"/>
      <c r="CRI341" s="86"/>
      <c r="CRJ341" s="82"/>
      <c r="CRK341" s="82"/>
      <c r="CRL341" s="82"/>
      <c r="CRM341" s="82"/>
      <c r="CRN341" s="83"/>
      <c r="CRO341" s="98"/>
      <c r="CRP341" s="85"/>
      <c r="CRQ341" s="82"/>
      <c r="CRR341" s="82"/>
      <c r="CRS341" s="86"/>
      <c r="CRT341" s="82"/>
      <c r="CRU341" s="82"/>
      <c r="CRV341" s="82"/>
      <c r="CRW341" s="82"/>
      <c r="CRX341" s="83"/>
      <c r="CRY341" s="98"/>
      <c r="CRZ341" s="85"/>
      <c r="CSA341" s="82"/>
      <c r="CSB341" s="82"/>
      <c r="CSC341" s="86"/>
      <c r="CSD341" s="82"/>
      <c r="CSE341" s="82"/>
      <c r="CSF341" s="82"/>
      <c r="CSG341" s="82"/>
      <c r="CSH341" s="83"/>
      <c r="CSI341" s="98"/>
      <c r="CSJ341" s="85"/>
      <c r="CSK341" s="82"/>
      <c r="CSL341" s="82"/>
      <c r="CSM341" s="86"/>
      <c r="CSN341" s="82"/>
      <c r="CSO341" s="82"/>
      <c r="CSP341" s="82"/>
      <c r="CSQ341" s="82"/>
      <c r="CSR341" s="83"/>
      <c r="CSS341" s="98"/>
      <c r="CST341" s="85"/>
      <c r="CSU341" s="82"/>
      <c r="CSV341" s="82"/>
      <c r="CSW341" s="86"/>
      <c r="CSX341" s="82"/>
      <c r="CSY341" s="82"/>
      <c r="CSZ341" s="82"/>
      <c r="CTA341" s="82"/>
      <c r="CTB341" s="83"/>
      <c r="CTC341" s="98"/>
      <c r="CTD341" s="85"/>
      <c r="CTE341" s="82"/>
      <c r="CTF341" s="82"/>
      <c r="CTG341" s="86"/>
      <c r="CTH341" s="82"/>
      <c r="CTI341" s="82"/>
      <c r="CTJ341" s="82"/>
      <c r="CTK341" s="82"/>
      <c r="CTL341" s="83"/>
      <c r="CTM341" s="98"/>
      <c r="CTN341" s="85"/>
      <c r="CTO341" s="82"/>
      <c r="CTP341" s="82"/>
      <c r="CTQ341" s="86"/>
      <c r="CTR341" s="82"/>
      <c r="CTS341" s="82"/>
      <c r="CTT341" s="82"/>
      <c r="CTU341" s="82"/>
      <c r="CTV341" s="83"/>
      <c r="CTW341" s="98"/>
      <c r="CTX341" s="85"/>
      <c r="CTY341" s="82"/>
      <c r="CTZ341" s="82"/>
      <c r="CUA341" s="86"/>
      <c r="CUB341" s="82"/>
      <c r="CUC341" s="82"/>
      <c r="CUD341" s="82"/>
      <c r="CUE341" s="82"/>
      <c r="CUF341" s="83"/>
      <c r="CUG341" s="98"/>
      <c r="CUH341" s="85"/>
      <c r="CUI341" s="82"/>
      <c r="CUJ341" s="82"/>
      <c r="CUK341" s="86"/>
      <c r="CUL341" s="82"/>
      <c r="CUM341" s="82"/>
      <c r="CUN341" s="82"/>
      <c r="CUO341" s="82"/>
      <c r="CUP341" s="83"/>
      <c r="CUQ341" s="98"/>
      <c r="CUR341" s="85"/>
      <c r="CUS341" s="82"/>
      <c r="CUT341" s="82"/>
      <c r="CUU341" s="86"/>
      <c r="CUV341" s="82"/>
      <c r="CUW341" s="82"/>
      <c r="CUX341" s="82"/>
      <c r="CUY341" s="82"/>
      <c r="CUZ341" s="83"/>
      <c r="CVA341" s="98"/>
      <c r="CVB341" s="85"/>
      <c r="CVC341" s="82"/>
      <c r="CVD341" s="82"/>
      <c r="CVE341" s="86"/>
      <c r="CVF341" s="82"/>
      <c r="CVG341" s="82"/>
      <c r="CVH341" s="82"/>
      <c r="CVI341" s="82"/>
      <c r="CVJ341" s="83"/>
      <c r="CVK341" s="98"/>
      <c r="CVL341" s="85"/>
      <c r="CVM341" s="82"/>
      <c r="CVN341" s="82"/>
      <c r="CVO341" s="86"/>
      <c r="CVP341" s="82"/>
      <c r="CVQ341" s="82"/>
      <c r="CVR341" s="82"/>
      <c r="CVS341" s="82"/>
      <c r="CVT341" s="83"/>
      <c r="CVU341" s="98"/>
      <c r="CVV341" s="85"/>
      <c r="CVW341" s="82"/>
      <c r="CVX341" s="82"/>
      <c r="CVY341" s="86"/>
      <c r="CVZ341" s="82"/>
      <c r="CWA341" s="82"/>
      <c r="CWB341" s="82"/>
      <c r="CWC341" s="82"/>
      <c r="CWD341" s="83"/>
      <c r="CWE341" s="98"/>
      <c r="CWF341" s="85"/>
      <c r="CWG341" s="82"/>
      <c r="CWH341" s="82"/>
      <c r="CWI341" s="86"/>
      <c r="CWJ341" s="82"/>
      <c r="CWK341" s="82"/>
      <c r="CWL341" s="82"/>
      <c r="CWM341" s="82"/>
      <c r="CWN341" s="83"/>
      <c r="CWO341" s="98"/>
      <c r="CWP341" s="85"/>
      <c r="CWQ341" s="82"/>
      <c r="CWR341" s="82"/>
      <c r="CWS341" s="86"/>
      <c r="CWT341" s="82"/>
      <c r="CWU341" s="82"/>
      <c r="CWV341" s="82"/>
      <c r="CWW341" s="82"/>
      <c r="CWX341" s="83"/>
      <c r="CWY341" s="98"/>
      <c r="CWZ341" s="85"/>
      <c r="CXA341" s="82"/>
      <c r="CXB341" s="82"/>
      <c r="CXC341" s="86"/>
      <c r="CXD341" s="82"/>
      <c r="CXE341" s="82"/>
      <c r="CXF341" s="82"/>
      <c r="CXG341" s="82"/>
      <c r="CXH341" s="83"/>
      <c r="CXI341" s="98"/>
      <c r="CXJ341" s="85"/>
      <c r="CXK341" s="82"/>
      <c r="CXL341" s="82"/>
      <c r="CXM341" s="86"/>
      <c r="CXN341" s="82"/>
      <c r="CXO341" s="82"/>
      <c r="CXP341" s="82"/>
      <c r="CXQ341" s="82"/>
      <c r="CXR341" s="83"/>
      <c r="CXS341" s="98"/>
      <c r="CXT341" s="85"/>
      <c r="CXU341" s="82"/>
      <c r="CXV341" s="82"/>
      <c r="CXW341" s="86"/>
      <c r="CXX341" s="82"/>
      <c r="CXY341" s="82"/>
      <c r="CXZ341" s="82"/>
      <c r="CYA341" s="82"/>
      <c r="CYB341" s="83"/>
      <c r="CYC341" s="98"/>
      <c r="CYD341" s="85"/>
      <c r="CYE341" s="82"/>
      <c r="CYF341" s="82"/>
      <c r="CYG341" s="86"/>
      <c r="CYH341" s="82"/>
      <c r="CYI341" s="82"/>
      <c r="CYJ341" s="82"/>
      <c r="CYK341" s="82"/>
      <c r="CYL341" s="83"/>
      <c r="CYM341" s="98"/>
      <c r="CYN341" s="85"/>
      <c r="CYO341" s="82"/>
      <c r="CYP341" s="82"/>
      <c r="CYQ341" s="86"/>
      <c r="CYR341" s="82"/>
      <c r="CYS341" s="82"/>
      <c r="CYT341" s="82"/>
      <c r="CYU341" s="82"/>
      <c r="CYV341" s="83"/>
      <c r="CYW341" s="98"/>
      <c r="CYX341" s="85"/>
      <c r="CYY341" s="82"/>
      <c r="CYZ341" s="82"/>
      <c r="CZA341" s="86"/>
      <c r="CZB341" s="82"/>
      <c r="CZC341" s="82"/>
      <c r="CZD341" s="82"/>
      <c r="CZE341" s="82"/>
      <c r="CZF341" s="83"/>
      <c r="CZG341" s="98"/>
      <c r="CZH341" s="85"/>
      <c r="CZI341" s="82"/>
      <c r="CZJ341" s="82"/>
      <c r="CZK341" s="86"/>
      <c r="CZL341" s="82"/>
      <c r="CZM341" s="82"/>
      <c r="CZN341" s="82"/>
      <c r="CZO341" s="82"/>
      <c r="CZP341" s="83"/>
      <c r="CZQ341" s="98"/>
      <c r="CZR341" s="85"/>
      <c r="CZS341" s="82"/>
      <c r="CZT341" s="82"/>
      <c r="CZU341" s="86"/>
      <c r="CZV341" s="82"/>
      <c r="CZW341" s="82"/>
      <c r="CZX341" s="82"/>
      <c r="CZY341" s="82"/>
      <c r="CZZ341" s="83"/>
      <c r="DAA341" s="98"/>
      <c r="DAB341" s="85"/>
      <c r="DAC341" s="82"/>
      <c r="DAD341" s="82"/>
      <c r="DAE341" s="86"/>
      <c r="DAF341" s="82"/>
      <c r="DAG341" s="82"/>
      <c r="DAH341" s="82"/>
      <c r="DAI341" s="82"/>
      <c r="DAJ341" s="83"/>
      <c r="DAK341" s="98"/>
      <c r="DAL341" s="85"/>
      <c r="DAM341" s="82"/>
      <c r="DAN341" s="82"/>
      <c r="DAO341" s="86"/>
      <c r="DAP341" s="82"/>
      <c r="DAQ341" s="82"/>
      <c r="DAR341" s="82"/>
      <c r="DAS341" s="82"/>
      <c r="DAT341" s="83"/>
      <c r="DAU341" s="98"/>
      <c r="DAV341" s="85"/>
      <c r="DAW341" s="82"/>
      <c r="DAX341" s="82"/>
      <c r="DAY341" s="86"/>
      <c r="DAZ341" s="82"/>
      <c r="DBA341" s="82"/>
      <c r="DBB341" s="82"/>
      <c r="DBC341" s="82"/>
      <c r="DBD341" s="83"/>
      <c r="DBE341" s="98"/>
      <c r="DBF341" s="85"/>
      <c r="DBG341" s="82"/>
      <c r="DBH341" s="82"/>
      <c r="DBI341" s="86"/>
      <c r="DBJ341" s="82"/>
      <c r="DBK341" s="82"/>
      <c r="DBL341" s="82"/>
      <c r="DBM341" s="82"/>
      <c r="DBN341" s="83"/>
      <c r="DBO341" s="98"/>
      <c r="DBP341" s="85"/>
      <c r="DBQ341" s="82"/>
      <c r="DBR341" s="82"/>
      <c r="DBS341" s="86"/>
      <c r="DBT341" s="82"/>
      <c r="DBU341" s="82"/>
      <c r="DBV341" s="82"/>
      <c r="DBW341" s="82"/>
      <c r="DBX341" s="83"/>
      <c r="DBY341" s="98"/>
      <c r="DBZ341" s="85"/>
      <c r="DCA341" s="82"/>
      <c r="DCB341" s="82"/>
      <c r="DCC341" s="86"/>
      <c r="DCD341" s="82"/>
      <c r="DCE341" s="82"/>
      <c r="DCF341" s="82"/>
      <c r="DCG341" s="82"/>
      <c r="DCH341" s="83"/>
      <c r="DCI341" s="98"/>
      <c r="DCJ341" s="85"/>
      <c r="DCK341" s="82"/>
      <c r="DCL341" s="82"/>
      <c r="DCM341" s="86"/>
      <c r="DCN341" s="82"/>
      <c r="DCO341" s="82"/>
      <c r="DCP341" s="82"/>
      <c r="DCQ341" s="82"/>
      <c r="DCR341" s="83"/>
      <c r="DCS341" s="98"/>
      <c r="DCT341" s="85"/>
      <c r="DCU341" s="82"/>
      <c r="DCV341" s="82"/>
      <c r="DCW341" s="86"/>
      <c r="DCX341" s="82"/>
      <c r="DCY341" s="82"/>
      <c r="DCZ341" s="82"/>
      <c r="DDA341" s="82"/>
      <c r="DDB341" s="83"/>
      <c r="DDC341" s="98"/>
      <c r="DDD341" s="85"/>
      <c r="DDE341" s="82"/>
      <c r="DDF341" s="82"/>
      <c r="DDG341" s="86"/>
      <c r="DDH341" s="82"/>
      <c r="DDI341" s="82"/>
      <c r="DDJ341" s="82"/>
      <c r="DDK341" s="82"/>
      <c r="DDL341" s="83"/>
      <c r="DDM341" s="98"/>
      <c r="DDN341" s="85"/>
      <c r="DDO341" s="82"/>
      <c r="DDP341" s="82"/>
      <c r="DDQ341" s="86"/>
      <c r="DDR341" s="82"/>
      <c r="DDS341" s="82"/>
      <c r="DDT341" s="82"/>
      <c r="DDU341" s="82"/>
      <c r="DDV341" s="83"/>
      <c r="DDW341" s="98"/>
      <c r="DDX341" s="85"/>
      <c r="DDY341" s="82"/>
      <c r="DDZ341" s="82"/>
      <c r="DEA341" s="86"/>
      <c r="DEB341" s="82"/>
      <c r="DEC341" s="82"/>
      <c r="DED341" s="82"/>
      <c r="DEE341" s="82"/>
      <c r="DEF341" s="83"/>
      <c r="DEG341" s="98"/>
      <c r="DEH341" s="85"/>
      <c r="DEI341" s="82"/>
      <c r="DEJ341" s="82"/>
      <c r="DEK341" s="86"/>
      <c r="DEL341" s="82"/>
      <c r="DEM341" s="82"/>
      <c r="DEN341" s="82"/>
      <c r="DEO341" s="82"/>
      <c r="DEP341" s="83"/>
      <c r="DEQ341" s="98"/>
      <c r="DER341" s="85"/>
      <c r="DES341" s="82"/>
      <c r="DET341" s="82"/>
      <c r="DEU341" s="86"/>
      <c r="DEV341" s="82"/>
      <c r="DEW341" s="82"/>
      <c r="DEX341" s="82"/>
      <c r="DEY341" s="82"/>
      <c r="DEZ341" s="83"/>
      <c r="DFA341" s="98"/>
      <c r="DFB341" s="85"/>
      <c r="DFC341" s="82"/>
      <c r="DFD341" s="82"/>
      <c r="DFE341" s="86"/>
      <c r="DFF341" s="82"/>
      <c r="DFG341" s="82"/>
      <c r="DFH341" s="82"/>
      <c r="DFI341" s="82"/>
      <c r="DFJ341" s="83"/>
      <c r="DFK341" s="98"/>
      <c r="DFL341" s="85"/>
      <c r="DFM341" s="82"/>
      <c r="DFN341" s="82"/>
      <c r="DFO341" s="86"/>
      <c r="DFP341" s="82"/>
      <c r="DFQ341" s="82"/>
      <c r="DFR341" s="82"/>
      <c r="DFS341" s="82"/>
      <c r="DFT341" s="83"/>
      <c r="DFU341" s="98"/>
      <c r="DFV341" s="85"/>
      <c r="DFW341" s="82"/>
      <c r="DFX341" s="82"/>
      <c r="DFY341" s="86"/>
      <c r="DFZ341" s="82"/>
      <c r="DGA341" s="82"/>
      <c r="DGB341" s="82"/>
      <c r="DGC341" s="82"/>
      <c r="DGD341" s="83"/>
      <c r="DGE341" s="98"/>
      <c r="DGF341" s="85"/>
      <c r="DGG341" s="82"/>
      <c r="DGH341" s="82"/>
      <c r="DGI341" s="86"/>
      <c r="DGJ341" s="82"/>
      <c r="DGK341" s="82"/>
      <c r="DGL341" s="82"/>
      <c r="DGM341" s="82"/>
      <c r="DGN341" s="83"/>
      <c r="DGO341" s="98"/>
      <c r="DGP341" s="85"/>
      <c r="DGQ341" s="82"/>
      <c r="DGR341" s="82"/>
      <c r="DGS341" s="86"/>
      <c r="DGT341" s="82"/>
      <c r="DGU341" s="82"/>
      <c r="DGV341" s="82"/>
      <c r="DGW341" s="82"/>
      <c r="DGX341" s="83"/>
      <c r="DGY341" s="98"/>
      <c r="DGZ341" s="85"/>
      <c r="DHA341" s="82"/>
      <c r="DHB341" s="82"/>
      <c r="DHC341" s="86"/>
      <c r="DHD341" s="82"/>
      <c r="DHE341" s="82"/>
      <c r="DHF341" s="82"/>
      <c r="DHG341" s="82"/>
      <c r="DHH341" s="83"/>
      <c r="DHI341" s="98"/>
      <c r="DHJ341" s="85"/>
      <c r="DHK341" s="82"/>
      <c r="DHL341" s="82"/>
      <c r="DHM341" s="86"/>
      <c r="DHN341" s="82"/>
      <c r="DHO341" s="82"/>
      <c r="DHP341" s="82"/>
      <c r="DHQ341" s="82"/>
      <c r="DHR341" s="83"/>
      <c r="DHS341" s="98"/>
      <c r="DHT341" s="85"/>
      <c r="DHU341" s="82"/>
      <c r="DHV341" s="82"/>
      <c r="DHW341" s="86"/>
      <c r="DHX341" s="82"/>
      <c r="DHY341" s="82"/>
      <c r="DHZ341" s="82"/>
      <c r="DIA341" s="82"/>
      <c r="DIB341" s="83"/>
      <c r="DIC341" s="98"/>
      <c r="DID341" s="85"/>
      <c r="DIE341" s="82"/>
      <c r="DIF341" s="82"/>
      <c r="DIG341" s="86"/>
      <c r="DIH341" s="82"/>
      <c r="DII341" s="82"/>
      <c r="DIJ341" s="82"/>
      <c r="DIK341" s="82"/>
      <c r="DIL341" s="83"/>
      <c r="DIM341" s="98"/>
      <c r="DIN341" s="85"/>
      <c r="DIO341" s="82"/>
      <c r="DIP341" s="82"/>
      <c r="DIQ341" s="86"/>
      <c r="DIR341" s="82"/>
      <c r="DIS341" s="82"/>
      <c r="DIT341" s="82"/>
      <c r="DIU341" s="82"/>
      <c r="DIV341" s="83"/>
      <c r="DIW341" s="98"/>
      <c r="DIX341" s="85"/>
      <c r="DIY341" s="82"/>
      <c r="DIZ341" s="82"/>
      <c r="DJA341" s="86"/>
      <c r="DJB341" s="82"/>
      <c r="DJC341" s="82"/>
      <c r="DJD341" s="82"/>
      <c r="DJE341" s="82"/>
      <c r="DJF341" s="83"/>
      <c r="DJG341" s="98"/>
      <c r="DJH341" s="85"/>
      <c r="DJI341" s="82"/>
      <c r="DJJ341" s="82"/>
      <c r="DJK341" s="86"/>
      <c r="DJL341" s="82"/>
      <c r="DJM341" s="82"/>
      <c r="DJN341" s="82"/>
      <c r="DJO341" s="82"/>
      <c r="DJP341" s="83"/>
      <c r="DJQ341" s="98"/>
      <c r="DJR341" s="85"/>
      <c r="DJS341" s="82"/>
      <c r="DJT341" s="82"/>
      <c r="DJU341" s="86"/>
      <c r="DJV341" s="82"/>
      <c r="DJW341" s="82"/>
      <c r="DJX341" s="82"/>
      <c r="DJY341" s="82"/>
      <c r="DJZ341" s="83"/>
      <c r="DKA341" s="98"/>
      <c r="DKB341" s="85"/>
      <c r="DKC341" s="82"/>
      <c r="DKD341" s="82"/>
      <c r="DKE341" s="86"/>
      <c r="DKF341" s="82"/>
      <c r="DKG341" s="82"/>
      <c r="DKH341" s="82"/>
      <c r="DKI341" s="82"/>
      <c r="DKJ341" s="83"/>
      <c r="DKK341" s="98"/>
      <c r="DKL341" s="85"/>
      <c r="DKM341" s="82"/>
      <c r="DKN341" s="82"/>
      <c r="DKO341" s="86"/>
      <c r="DKP341" s="82"/>
      <c r="DKQ341" s="82"/>
      <c r="DKR341" s="82"/>
      <c r="DKS341" s="82"/>
      <c r="DKT341" s="83"/>
      <c r="DKU341" s="98"/>
      <c r="DKV341" s="85"/>
      <c r="DKW341" s="82"/>
      <c r="DKX341" s="82"/>
      <c r="DKY341" s="86"/>
      <c r="DKZ341" s="82"/>
      <c r="DLA341" s="82"/>
      <c r="DLB341" s="82"/>
      <c r="DLC341" s="82"/>
      <c r="DLD341" s="83"/>
      <c r="DLE341" s="98"/>
      <c r="DLF341" s="85"/>
      <c r="DLG341" s="82"/>
      <c r="DLH341" s="82"/>
      <c r="DLI341" s="86"/>
      <c r="DLJ341" s="82"/>
      <c r="DLK341" s="82"/>
      <c r="DLL341" s="82"/>
      <c r="DLM341" s="82"/>
      <c r="DLN341" s="83"/>
      <c r="DLO341" s="98"/>
      <c r="DLP341" s="85"/>
      <c r="DLQ341" s="82"/>
      <c r="DLR341" s="82"/>
      <c r="DLS341" s="86"/>
      <c r="DLT341" s="82"/>
      <c r="DLU341" s="82"/>
      <c r="DLV341" s="82"/>
      <c r="DLW341" s="82"/>
      <c r="DLX341" s="83"/>
      <c r="DLY341" s="98"/>
      <c r="DLZ341" s="85"/>
      <c r="DMA341" s="82"/>
      <c r="DMB341" s="82"/>
      <c r="DMC341" s="86"/>
      <c r="DMD341" s="82"/>
      <c r="DME341" s="82"/>
      <c r="DMF341" s="82"/>
      <c r="DMG341" s="82"/>
      <c r="DMH341" s="83"/>
      <c r="DMI341" s="98"/>
      <c r="DMJ341" s="85"/>
      <c r="DMK341" s="82"/>
      <c r="DML341" s="82"/>
      <c r="DMM341" s="86"/>
      <c r="DMN341" s="82"/>
      <c r="DMO341" s="82"/>
      <c r="DMP341" s="82"/>
      <c r="DMQ341" s="82"/>
      <c r="DMR341" s="83"/>
      <c r="DMS341" s="98"/>
      <c r="DMT341" s="85"/>
      <c r="DMU341" s="82"/>
      <c r="DMV341" s="82"/>
      <c r="DMW341" s="86"/>
      <c r="DMX341" s="82"/>
      <c r="DMY341" s="82"/>
      <c r="DMZ341" s="82"/>
      <c r="DNA341" s="82"/>
      <c r="DNB341" s="83"/>
      <c r="DNC341" s="98"/>
      <c r="DND341" s="85"/>
      <c r="DNE341" s="82"/>
      <c r="DNF341" s="82"/>
      <c r="DNG341" s="86"/>
      <c r="DNH341" s="82"/>
      <c r="DNI341" s="82"/>
      <c r="DNJ341" s="82"/>
      <c r="DNK341" s="82"/>
      <c r="DNL341" s="83"/>
      <c r="DNM341" s="98"/>
      <c r="DNN341" s="85"/>
      <c r="DNO341" s="82"/>
      <c r="DNP341" s="82"/>
      <c r="DNQ341" s="86"/>
      <c r="DNR341" s="82"/>
      <c r="DNS341" s="82"/>
      <c r="DNT341" s="82"/>
      <c r="DNU341" s="82"/>
      <c r="DNV341" s="83"/>
      <c r="DNW341" s="98"/>
      <c r="DNX341" s="85"/>
      <c r="DNY341" s="82"/>
      <c r="DNZ341" s="82"/>
      <c r="DOA341" s="86"/>
      <c r="DOB341" s="82"/>
      <c r="DOC341" s="82"/>
      <c r="DOD341" s="82"/>
      <c r="DOE341" s="82"/>
      <c r="DOF341" s="83"/>
      <c r="DOG341" s="98"/>
      <c r="DOH341" s="85"/>
      <c r="DOI341" s="82"/>
      <c r="DOJ341" s="82"/>
      <c r="DOK341" s="86"/>
      <c r="DOL341" s="82"/>
      <c r="DOM341" s="82"/>
      <c r="DON341" s="82"/>
      <c r="DOO341" s="82"/>
      <c r="DOP341" s="83"/>
      <c r="DOQ341" s="98"/>
      <c r="DOR341" s="85"/>
      <c r="DOS341" s="82"/>
      <c r="DOT341" s="82"/>
      <c r="DOU341" s="86"/>
      <c r="DOV341" s="82"/>
      <c r="DOW341" s="82"/>
      <c r="DOX341" s="82"/>
      <c r="DOY341" s="82"/>
      <c r="DOZ341" s="83"/>
      <c r="DPA341" s="98"/>
      <c r="DPB341" s="85"/>
      <c r="DPC341" s="82"/>
      <c r="DPD341" s="82"/>
      <c r="DPE341" s="86"/>
      <c r="DPF341" s="82"/>
      <c r="DPG341" s="82"/>
      <c r="DPH341" s="82"/>
      <c r="DPI341" s="82"/>
      <c r="DPJ341" s="83"/>
      <c r="DPK341" s="98"/>
      <c r="DPL341" s="85"/>
      <c r="DPM341" s="82"/>
      <c r="DPN341" s="82"/>
      <c r="DPO341" s="86"/>
      <c r="DPP341" s="82"/>
      <c r="DPQ341" s="82"/>
      <c r="DPR341" s="82"/>
      <c r="DPS341" s="82"/>
      <c r="DPT341" s="83"/>
      <c r="DPU341" s="98"/>
      <c r="DPV341" s="85"/>
      <c r="DPW341" s="82"/>
      <c r="DPX341" s="82"/>
      <c r="DPY341" s="86"/>
      <c r="DPZ341" s="82"/>
      <c r="DQA341" s="82"/>
      <c r="DQB341" s="82"/>
      <c r="DQC341" s="82"/>
      <c r="DQD341" s="83"/>
      <c r="DQE341" s="98"/>
      <c r="DQF341" s="85"/>
      <c r="DQG341" s="82"/>
      <c r="DQH341" s="82"/>
      <c r="DQI341" s="86"/>
      <c r="DQJ341" s="82"/>
      <c r="DQK341" s="82"/>
      <c r="DQL341" s="82"/>
      <c r="DQM341" s="82"/>
      <c r="DQN341" s="83"/>
      <c r="DQO341" s="98"/>
      <c r="DQP341" s="85"/>
      <c r="DQQ341" s="82"/>
      <c r="DQR341" s="82"/>
      <c r="DQS341" s="86"/>
      <c r="DQT341" s="82"/>
      <c r="DQU341" s="82"/>
      <c r="DQV341" s="82"/>
      <c r="DQW341" s="82"/>
      <c r="DQX341" s="83"/>
      <c r="DQY341" s="98"/>
      <c r="DQZ341" s="85"/>
      <c r="DRA341" s="82"/>
      <c r="DRB341" s="82"/>
      <c r="DRC341" s="86"/>
      <c r="DRD341" s="82"/>
      <c r="DRE341" s="82"/>
      <c r="DRF341" s="82"/>
      <c r="DRG341" s="82"/>
      <c r="DRH341" s="83"/>
      <c r="DRI341" s="98"/>
      <c r="DRJ341" s="85"/>
      <c r="DRK341" s="82"/>
      <c r="DRL341" s="82"/>
      <c r="DRM341" s="86"/>
      <c r="DRN341" s="82"/>
      <c r="DRO341" s="82"/>
      <c r="DRP341" s="82"/>
      <c r="DRQ341" s="82"/>
      <c r="DRR341" s="83"/>
      <c r="DRS341" s="98"/>
      <c r="DRT341" s="85"/>
      <c r="DRU341" s="82"/>
      <c r="DRV341" s="82"/>
      <c r="DRW341" s="86"/>
      <c r="DRX341" s="82"/>
      <c r="DRY341" s="82"/>
      <c r="DRZ341" s="82"/>
      <c r="DSA341" s="82"/>
      <c r="DSB341" s="83"/>
      <c r="DSC341" s="98"/>
      <c r="DSD341" s="85"/>
      <c r="DSE341" s="82"/>
      <c r="DSF341" s="82"/>
      <c r="DSG341" s="86"/>
      <c r="DSH341" s="82"/>
      <c r="DSI341" s="82"/>
      <c r="DSJ341" s="82"/>
      <c r="DSK341" s="82"/>
      <c r="DSL341" s="83"/>
      <c r="DSM341" s="98"/>
      <c r="DSN341" s="85"/>
      <c r="DSO341" s="82"/>
      <c r="DSP341" s="82"/>
      <c r="DSQ341" s="86"/>
      <c r="DSR341" s="82"/>
      <c r="DSS341" s="82"/>
      <c r="DST341" s="82"/>
      <c r="DSU341" s="82"/>
      <c r="DSV341" s="83"/>
      <c r="DSW341" s="98"/>
      <c r="DSX341" s="85"/>
      <c r="DSY341" s="82"/>
      <c r="DSZ341" s="82"/>
      <c r="DTA341" s="86"/>
      <c r="DTB341" s="82"/>
      <c r="DTC341" s="82"/>
      <c r="DTD341" s="82"/>
      <c r="DTE341" s="82"/>
      <c r="DTF341" s="83"/>
      <c r="DTG341" s="98"/>
      <c r="DTH341" s="85"/>
      <c r="DTI341" s="82"/>
      <c r="DTJ341" s="82"/>
      <c r="DTK341" s="86"/>
      <c r="DTL341" s="82"/>
      <c r="DTM341" s="82"/>
      <c r="DTN341" s="82"/>
      <c r="DTO341" s="82"/>
      <c r="DTP341" s="83"/>
      <c r="DTQ341" s="98"/>
      <c r="DTR341" s="85"/>
      <c r="DTS341" s="82"/>
      <c r="DTT341" s="82"/>
      <c r="DTU341" s="86"/>
      <c r="DTV341" s="82"/>
      <c r="DTW341" s="82"/>
      <c r="DTX341" s="82"/>
      <c r="DTY341" s="82"/>
      <c r="DTZ341" s="83"/>
      <c r="DUA341" s="98"/>
      <c r="DUB341" s="85"/>
      <c r="DUC341" s="82"/>
      <c r="DUD341" s="82"/>
      <c r="DUE341" s="86"/>
      <c r="DUF341" s="82"/>
      <c r="DUG341" s="82"/>
      <c r="DUH341" s="82"/>
      <c r="DUI341" s="82"/>
      <c r="DUJ341" s="83"/>
      <c r="DUK341" s="98"/>
      <c r="DUL341" s="85"/>
      <c r="DUM341" s="82"/>
      <c r="DUN341" s="82"/>
      <c r="DUO341" s="86"/>
      <c r="DUP341" s="82"/>
      <c r="DUQ341" s="82"/>
      <c r="DUR341" s="82"/>
      <c r="DUS341" s="82"/>
      <c r="DUT341" s="83"/>
      <c r="DUU341" s="98"/>
      <c r="DUV341" s="85"/>
      <c r="DUW341" s="82"/>
      <c r="DUX341" s="82"/>
      <c r="DUY341" s="86"/>
      <c r="DUZ341" s="82"/>
      <c r="DVA341" s="82"/>
      <c r="DVB341" s="82"/>
      <c r="DVC341" s="82"/>
      <c r="DVD341" s="83"/>
      <c r="DVE341" s="98"/>
      <c r="DVF341" s="85"/>
      <c r="DVG341" s="82"/>
      <c r="DVH341" s="82"/>
      <c r="DVI341" s="86"/>
      <c r="DVJ341" s="82"/>
      <c r="DVK341" s="82"/>
      <c r="DVL341" s="82"/>
      <c r="DVM341" s="82"/>
      <c r="DVN341" s="83"/>
      <c r="DVO341" s="98"/>
      <c r="DVP341" s="85"/>
      <c r="DVQ341" s="82"/>
      <c r="DVR341" s="82"/>
      <c r="DVS341" s="86"/>
      <c r="DVT341" s="82"/>
      <c r="DVU341" s="82"/>
      <c r="DVV341" s="82"/>
      <c r="DVW341" s="82"/>
      <c r="DVX341" s="83"/>
      <c r="DVY341" s="98"/>
      <c r="DVZ341" s="85"/>
      <c r="DWA341" s="82"/>
      <c r="DWB341" s="82"/>
      <c r="DWC341" s="86"/>
      <c r="DWD341" s="82"/>
      <c r="DWE341" s="82"/>
      <c r="DWF341" s="82"/>
      <c r="DWG341" s="82"/>
      <c r="DWH341" s="83"/>
      <c r="DWI341" s="98"/>
      <c r="DWJ341" s="85"/>
      <c r="DWK341" s="82"/>
      <c r="DWL341" s="82"/>
      <c r="DWM341" s="86"/>
      <c r="DWN341" s="82"/>
      <c r="DWO341" s="82"/>
      <c r="DWP341" s="82"/>
      <c r="DWQ341" s="82"/>
      <c r="DWR341" s="83"/>
      <c r="DWS341" s="98"/>
      <c r="DWT341" s="85"/>
      <c r="DWU341" s="82"/>
      <c r="DWV341" s="82"/>
      <c r="DWW341" s="86"/>
      <c r="DWX341" s="82"/>
      <c r="DWY341" s="82"/>
      <c r="DWZ341" s="82"/>
      <c r="DXA341" s="82"/>
      <c r="DXB341" s="83"/>
      <c r="DXC341" s="98"/>
      <c r="DXD341" s="85"/>
      <c r="DXE341" s="82"/>
      <c r="DXF341" s="82"/>
      <c r="DXG341" s="86"/>
      <c r="DXH341" s="82"/>
      <c r="DXI341" s="82"/>
      <c r="DXJ341" s="82"/>
      <c r="DXK341" s="82"/>
      <c r="DXL341" s="83"/>
      <c r="DXM341" s="98"/>
      <c r="DXN341" s="85"/>
      <c r="DXO341" s="82"/>
      <c r="DXP341" s="82"/>
      <c r="DXQ341" s="86"/>
      <c r="DXR341" s="82"/>
      <c r="DXS341" s="82"/>
      <c r="DXT341" s="82"/>
      <c r="DXU341" s="82"/>
      <c r="DXV341" s="83"/>
      <c r="DXW341" s="98"/>
      <c r="DXX341" s="85"/>
      <c r="DXY341" s="82"/>
      <c r="DXZ341" s="82"/>
      <c r="DYA341" s="86"/>
      <c r="DYB341" s="82"/>
      <c r="DYC341" s="82"/>
      <c r="DYD341" s="82"/>
      <c r="DYE341" s="82"/>
      <c r="DYF341" s="83"/>
      <c r="DYG341" s="98"/>
      <c r="DYH341" s="85"/>
      <c r="DYI341" s="82"/>
      <c r="DYJ341" s="82"/>
      <c r="DYK341" s="86"/>
      <c r="DYL341" s="82"/>
      <c r="DYM341" s="82"/>
      <c r="DYN341" s="82"/>
      <c r="DYO341" s="82"/>
      <c r="DYP341" s="83"/>
      <c r="DYQ341" s="98"/>
      <c r="DYR341" s="85"/>
      <c r="DYS341" s="82"/>
      <c r="DYT341" s="82"/>
      <c r="DYU341" s="86"/>
      <c r="DYV341" s="82"/>
      <c r="DYW341" s="82"/>
      <c r="DYX341" s="82"/>
      <c r="DYY341" s="82"/>
      <c r="DYZ341" s="83"/>
      <c r="DZA341" s="98"/>
      <c r="DZB341" s="85"/>
      <c r="DZC341" s="82"/>
      <c r="DZD341" s="82"/>
      <c r="DZE341" s="86"/>
      <c r="DZF341" s="82"/>
      <c r="DZG341" s="82"/>
      <c r="DZH341" s="82"/>
      <c r="DZI341" s="82"/>
      <c r="DZJ341" s="83"/>
      <c r="DZK341" s="98"/>
      <c r="DZL341" s="85"/>
      <c r="DZM341" s="82"/>
      <c r="DZN341" s="82"/>
      <c r="DZO341" s="86"/>
      <c r="DZP341" s="82"/>
      <c r="DZQ341" s="82"/>
      <c r="DZR341" s="82"/>
      <c r="DZS341" s="82"/>
      <c r="DZT341" s="83"/>
      <c r="DZU341" s="98"/>
      <c r="DZV341" s="85"/>
      <c r="DZW341" s="82"/>
      <c r="DZX341" s="82"/>
      <c r="DZY341" s="86"/>
      <c r="DZZ341" s="82"/>
      <c r="EAA341" s="82"/>
      <c r="EAB341" s="82"/>
      <c r="EAC341" s="82"/>
      <c r="EAD341" s="83"/>
      <c r="EAE341" s="98"/>
      <c r="EAF341" s="85"/>
      <c r="EAG341" s="82"/>
      <c r="EAH341" s="82"/>
      <c r="EAI341" s="86"/>
      <c r="EAJ341" s="82"/>
      <c r="EAK341" s="82"/>
      <c r="EAL341" s="82"/>
      <c r="EAM341" s="82"/>
      <c r="EAN341" s="83"/>
      <c r="EAO341" s="98"/>
      <c r="EAP341" s="85"/>
      <c r="EAQ341" s="82"/>
      <c r="EAR341" s="82"/>
      <c r="EAS341" s="86"/>
      <c r="EAT341" s="82"/>
      <c r="EAU341" s="82"/>
      <c r="EAV341" s="82"/>
      <c r="EAW341" s="82"/>
      <c r="EAX341" s="83"/>
      <c r="EAY341" s="98"/>
      <c r="EAZ341" s="85"/>
      <c r="EBA341" s="82"/>
      <c r="EBB341" s="82"/>
      <c r="EBC341" s="86"/>
      <c r="EBD341" s="82"/>
      <c r="EBE341" s="82"/>
      <c r="EBF341" s="82"/>
      <c r="EBG341" s="82"/>
      <c r="EBH341" s="83"/>
      <c r="EBI341" s="98"/>
      <c r="EBJ341" s="85"/>
      <c r="EBK341" s="82"/>
      <c r="EBL341" s="82"/>
      <c r="EBM341" s="86"/>
      <c r="EBN341" s="82"/>
      <c r="EBO341" s="82"/>
      <c r="EBP341" s="82"/>
      <c r="EBQ341" s="82"/>
      <c r="EBR341" s="83"/>
      <c r="EBS341" s="98"/>
      <c r="EBT341" s="85"/>
      <c r="EBU341" s="82"/>
      <c r="EBV341" s="82"/>
      <c r="EBW341" s="86"/>
      <c r="EBX341" s="82"/>
      <c r="EBY341" s="82"/>
      <c r="EBZ341" s="82"/>
      <c r="ECA341" s="82"/>
      <c r="ECB341" s="83"/>
      <c r="ECC341" s="98"/>
      <c r="ECD341" s="85"/>
      <c r="ECE341" s="82"/>
      <c r="ECF341" s="82"/>
      <c r="ECG341" s="86"/>
      <c r="ECH341" s="82"/>
      <c r="ECI341" s="82"/>
      <c r="ECJ341" s="82"/>
      <c r="ECK341" s="82"/>
      <c r="ECL341" s="83"/>
      <c r="ECM341" s="98"/>
      <c r="ECN341" s="85"/>
      <c r="ECO341" s="82"/>
      <c r="ECP341" s="82"/>
      <c r="ECQ341" s="86"/>
      <c r="ECR341" s="82"/>
      <c r="ECS341" s="82"/>
      <c r="ECT341" s="82"/>
      <c r="ECU341" s="82"/>
      <c r="ECV341" s="83"/>
      <c r="ECW341" s="98"/>
      <c r="ECX341" s="85"/>
      <c r="ECY341" s="82"/>
      <c r="ECZ341" s="82"/>
      <c r="EDA341" s="86"/>
      <c r="EDB341" s="82"/>
      <c r="EDC341" s="82"/>
      <c r="EDD341" s="82"/>
      <c r="EDE341" s="82"/>
      <c r="EDF341" s="83"/>
      <c r="EDG341" s="98"/>
      <c r="EDH341" s="85"/>
      <c r="EDI341" s="82"/>
      <c r="EDJ341" s="82"/>
      <c r="EDK341" s="86"/>
      <c r="EDL341" s="82"/>
      <c r="EDM341" s="82"/>
      <c r="EDN341" s="82"/>
      <c r="EDO341" s="82"/>
      <c r="EDP341" s="83"/>
      <c r="EDQ341" s="98"/>
      <c r="EDR341" s="85"/>
      <c r="EDS341" s="82"/>
      <c r="EDT341" s="82"/>
      <c r="EDU341" s="86"/>
      <c r="EDV341" s="82"/>
      <c r="EDW341" s="82"/>
      <c r="EDX341" s="82"/>
      <c r="EDY341" s="82"/>
      <c r="EDZ341" s="83"/>
      <c r="EEA341" s="98"/>
      <c r="EEB341" s="85"/>
      <c r="EEC341" s="82"/>
      <c r="EED341" s="82"/>
      <c r="EEE341" s="86"/>
      <c r="EEF341" s="82"/>
      <c r="EEG341" s="82"/>
      <c r="EEH341" s="82"/>
      <c r="EEI341" s="82"/>
      <c r="EEJ341" s="83"/>
      <c r="EEK341" s="98"/>
      <c r="EEL341" s="85"/>
      <c r="EEM341" s="82"/>
      <c r="EEN341" s="82"/>
      <c r="EEO341" s="86"/>
      <c r="EEP341" s="82"/>
      <c r="EEQ341" s="82"/>
      <c r="EER341" s="82"/>
      <c r="EES341" s="82"/>
      <c r="EET341" s="83"/>
      <c r="EEU341" s="98"/>
      <c r="EEV341" s="85"/>
      <c r="EEW341" s="82"/>
      <c r="EEX341" s="82"/>
      <c r="EEY341" s="86"/>
      <c r="EEZ341" s="82"/>
      <c r="EFA341" s="82"/>
      <c r="EFB341" s="82"/>
      <c r="EFC341" s="82"/>
      <c r="EFD341" s="83"/>
      <c r="EFE341" s="98"/>
      <c r="EFF341" s="85"/>
      <c r="EFG341" s="82"/>
      <c r="EFH341" s="82"/>
      <c r="EFI341" s="86"/>
      <c r="EFJ341" s="82"/>
      <c r="EFK341" s="82"/>
      <c r="EFL341" s="82"/>
      <c r="EFM341" s="82"/>
      <c r="EFN341" s="83"/>
      <c r="EFO341" s="98"/>
      <c r="EFP341" s="85"/>
      <c r="EFQ341" s="82"/>
      <c r="EFR341" s="82"/>
      <c r="EFS341" s="86"/>
      <c r="EFT341" s="82"/>
      <c r="EFU341" s="82"/>
      <c r="EFV341" s="82"/>
      <c r="EFW341" s="82"/>
      <c r="EFX341" s="83"/>
      <c r="EFY341" s="98"/>
      <c r="EFZ341" s="85"/>
      <c r="EGA341" s="82"/>
      <c r="EGB341" s="82"/>
      <c r="EGC341" s="86"/>
      <c r="EGD341" s="82"/>
      <c r="EGE341" s="82"/>
      <c r="EGF341" s="82"/>
      <c r="EGG341" s="82"/>
      <c r="EGH341" s="83"/>
      <c r="EGI341" s="98"/>
      <c r="EGJ341" s="85"/>
      <c r="EGK341" s="82"/>
      <c r="EGL341" s="82"/>
      <c r="EGM341" s="86"/>
      <c r="EGN341" s="82"/>
      <c r="EGO341" s="82"/>
      <c r="EGP341" s="82"/>
      <c r="EGQ341" s="82"/>
      <c r="EGR341" s="83"/>
      <c r="EGS341" s="98"/>
      <c r="EGT341" s="85"/>
      <c r="EGU341" s="82"/>
      <c r="EGV341" s="82"/>
      <c r="EGW341" s="86"/>
      <c r="EGX341" s="82"/>
      <c r="EGY341" s="82"/>
      <c r="EGZ341" s="82"/>
      <c r="EHA341" s="82"/>
      <c r="EHB341" s="83"/>
      <c r="EHC341" s="98"/>
      <c r="EHD341" s="85"/>
      <c r="EHE341" s="82"/>
      <c r="EHF341" s="82"/>
      <c r="EHG341" s="86"/>
      <c r="EHH341" s="82"/>
      <c r="EHI341" s="82"/>
      <c r="EHJ341" s="82"/>
      <c r="EHK341" s="82"/>
      <c r="EHL341" s="83"/>
      <c r="EHM341" s="98"/>
      <c r="EHN341" s="85"/>
      <c r="EHO341" s="82"/>
      <c r="EHP341" s="82"/>
      <c r="EHQ341" s="86"/>
      <c r="EHR341" s="82"/>
      <c r="EHS341" s="82"/>
      <c r="EHT341" s="82"/>
      <c r="EHU341" s="82"/>
      <c r="EHV341" s="83"/>
      <c r="EHW341" s="98"/>
      <c r="EHX341" s="85"/>
      <c r="EHY341" s="82"/>
      <c r="EHZ341" s="82"/>
      <c r="EIA341" s="86"/>
      <c r="EIB341" s="82"/>
      <c r="EIC341" s="82"/>
      <c r="EID341" s="82"/>
      <c r="EIE341" s="82"/>
      <c r="EIF341" s="83"/>
      <c r="EIG341" s="98"/>
      <c r="EIH341" s="85"/>
      <c r="EII341" s="82"/>
      <c r="EIJ341" s="82"/>
      <c r="EIK341" s="86"/>
      <c r="EIL341" s="82"/>
      <c r="EIM341" s="82"/>
      <c r="EIN341" s="82"/>
      <c r="EIO341" s="82"/>
      <c r="EIP341" s="83"/>
      <c r="EIQ341" s="98"/>
      <c r="EIR341" s="85"/>
      <c r="EIS341" s="82"/>
      <c r="EIT341" s="82"/>
      <c r="EIU341" s="86"/>
      <c r="EIV341" s="82"/>
      <c r="EIW341" s="82"/>
      <c r="EIX341" s="82"/>
      <c r="EIY341" s="82"/>
      <c r="EIZ341" s="83"/>
      <c r="EJA341" s="98"/>
      <c r="EJB341" s="85"/>
      <c r="EJC341" s="82"/>
      <c r="EJD341" s="82"/>
      <c r="EJE341" s="86"/>
      <c r="EJF341" s="82"/>
      <c r="EJG341" s="82"/>
      <c r="EJH341" s="82"/>
      <c r="EJI341" s="82"/>
      <c r="EJJ341" s="83"/>
      <c r="EJK341" s="98"/>
      <c r="EJL341" s="85"/>
      <c r="EJM341" s="82"/>
      <c r="EJN341" s="82"/>
      <c r="EJO341" s="86"/>
      <c r="EJP341" s="82"/>
      <c r="EJQ341" s="82"/>
      <c r="EJR341" s="82"/>
      <c r="EJS341" s="82"/>
      <c r="EJT341" s="83"/>
      <c r="EJU341" s="98"/>
      <c r="EJV341" s="85"/>
      <c r="EJW341" s="82"/>
      <c r="EJX341" s="82"/>
      <c r="EJY341" s="86"/>
      <c r="EJZ341" s="82"/>
      <c r="EKA341" s="82"/>
      <c r="EKB341" s="82"/>
      <c r="EKC341" s="82"/>
      <c r="EKD341" s="83"/>
      <c r="EKE341" s="98"/>
      <c r="EKF341" s="85"/>
      <c r="EKG341" s="82"/>
      <c r="EKH341" s="82"/>
      <c r="EKI341" s="86"/>
      <c r="EKJ341" s="82"/>
      <c r="EKK341" s="82"/>
      <c r="EKL341" s="82"/>
      <c r="EKM341" s="82"/>
      <c r="EKN341" s="83"/>
      <c r="EKO341" s="98"/>
      <c r="EKP341" s="85"/>
      <c r="EKQ341" s="82"/>
      <c r="EKR341" s="82"/>
      <c r="EKS341" s="86"/>
      <c r="EKT341" s="82"/>
      <c r="EKU341" s="82"/>
      <c r="EKV341" s="82"/>
      <c r="EKW341" s="82"/>
      <c r="EKX341" s="83"/>
      <c r="EKY341" s="98"/>
      <c r="EKZ341" s="85"/>
      <c r="ELA341" s="82"/>
      <c r="ELB341" s="82"/>
      <c r="ELC341" s="86"/>
      <c r="ELD341" s="82"/>
      <c r="ELE341" s="82"/>
      <c r="ELF341" s="82"/>
      <c r="ELG341" s="82"/>
      <c r="ELH341" s="83"/>
      <c r="ELI341" s="98"/>
      <c r="ELJ341" s="85"/>
      <c r="ELK341" s="82"/>
      <c r="ELL341" s="82"/>
      <c r="ELM341" s="86"/>
      <c r="ELN341" s="82"/>
      <c r="ELO341" s="82"/>
      <c r="ELP341" s="82"/>
      <c r="ELQ341" s="82"/>
      <c r="ELR341" s="83"/>
      <c r="ELS341" s="98"/>
      <c r="ELT341" s="85"/>
      <c r="ELU341" s="82"/>
      <c r="ELV341" s="82"/>
      <c r="ELW341" s="86"/>
      <c r="ELX341" s="82"/>
      <c r="ELY341" s="82"/>
      <c r="ELZ341" s="82"/>
      <c r="EMA341" s="82"/>
      <c r="EMB341" s="83"/>
      <c r="EMC341" s="98"/>
      <c r="EMD341" s="85"/>
      <c r="EME341" s="82"/>
      <c r="EMF341" s="82"/>
      <c r="EMG341" s="86"/>
      <c r="EMH341" s="82"/>
      <c r="EMI341" s="82"/>
      <c r="EMJ341" s="82"/>
      <c r="EMK341" s="82"/>
      <c r="EML341" s="83"/>
      <c r="EMM341" s="98"/>
      <c r="EMN341" s="85"/>
      <c r="EMO341" s="82"/>
      <c r="EMP341" s="82"/>
      <c r="EMQ341" s="86"/>
      <c r="EMR341" s="82"/>
      <c r="EMS341" s="82"/>
      <c r="EMT341" s="82"/>
      <c r="EMU341" s="82"/>
      <c r="EMV341" s="83"/>
      <c r="EMW341" s="98"/>
      <c r="EMX341" s="85"/>
      <c r="EMY341" s="82"/>
      <c r="EMZ341" s="82"/>
      <c r="ENA341" s="86"/>
      <c r="ENB341" s="82"/>
      <c r="ENC341" s="82"/>
      <c r="END341" s="82"/>
      <c r="ENE341" s="82"/>
      <c r="ENF341" s="83"/>
      <c r="ENG341" s="98"/>
      <c r="ENH341" s="85"/>
      <c r="ENI341" s="82"/>
      <c r="ENJ341" s="82"/>
      <c r="ENK341" s="86"/>
      <c r="ENL341" s="82"/>
      <c r="ENM341" s="82"/>
      <c r="ENN341" s="82"/>
      <c r="ENO341" s="82"/>
      <c r="ENP341" s="83"/>
      <c r="ENQ341" s="98"/>
      <c r="ENR341" s="85"/>
      <c r="ENS341" s="82"/>
      <c r="ENT341" s="82"/>
      <c r="ENU341" s="86"/>
      <c r="ENV341" s="82"/>
      <c r="ENW341" s="82"/>
      <c r="ENX341" s="82"/>
      <c r="ENY341" s="82"/>
      <c r="ENZ341" s="83"/>
      <c r="EOA341" s="98"/>
      <c r="EOB341" s="85"/>
      <c r="EOC341" s="82"/>
      <c r="EOD341" s="82"/>
      <c r="EOE341" s="86"/>
      <c r="EOF341" s="82"/>
      <c r="EOG341" s="82"/>
      <c r="EOH341" s="82"/>
      <c r="EOI341" s="82"/>
      <c r="EOJ341" s="83"/>
      <c r="EOK341" s="98"/>
      <c r="EOL341" s="85"/>
      <c r="EOM341" s="82"/>
      <c r="EON341" s="82"/>
      <c r="EOO341" s="86"/>
      <c r="EOP341" s="82"/>
      <c r="EOQ341" s="82"/>
      <c r="EOR341" s="82"/>
      <c r="EOS341" s="82"/>
      <c r="EOT341" s="83"/>
      <c r="EOU341" s="98"/>
      <c r="EOV341" s="85"/>
      <c r="EOW341" s="82"/>
      <c r="EOX341" s="82"/>
      <c r="EOY341" s="86"/>
      <c r="EOZ341" s="82"/>
      <c r="EPA341" s="82"/>
      <c r="EPB341" s="82"/>
      <c r="EPC341" s="82"/>
      <c r="EPD341" s="83"/>
      <c r="EPE341" s="98"/>
      <c r="EPF341" s="85"/>
      <c r="EPG341" s="82"/>
      <c r="EPH341" s="82"/>
      <c r="EPI341" s="86"/>
      <c r="EPJ341" s="82"/>
      <c r="EPK341" s="82"/>
      <c r="EPL341" s="82"/>
      <c r="EPM341" s="82"/>
      <c r="EPN341" s="83"/>
      <c r="EPO341" s="98"/>
      <c r="EPP341" s="85"/>
      <c r="EPQ341" s="82"/>
      <c r="EPR341" s="82"/>
      <c r="EPS341" s="86"/>
      <c r="EPT341" s="82"/>
      <c r="EPU341" s="82"/>
      <c r="EPV341" s="82"/>
      <c r="EPW341" s="82"/>
      <c r="EPX341" s="83"/>
      <c r="EPY341" s="98"/>
      <c r="EPZ341" s="85"/>
      <c r="EQA341" s="82"/>
      <c r="EQB341" s="82"/>
      <c r="EQC341" s="86"/>
      <c r="EQD341" s="82"/>
      <c r="EQE341" s="82"/>
      <c r="EQF341" s="82"/>
      <c r="EQG341" s="82"/>
      <c r="EQH341" s="83"/>
      <c r="EQI341" s="98"/>
      <c r="EQJ341" s="85"/>
      <c r="EQK341" s="82"/>
      <c r="EQL341" s="82"/>
      <c r="EQM341" s="86"/>
      <c r="EQN341" s="82"/>
      <c r="EQO341" s="82"/>
      <c r="EQP341" s="82"/>
      <c r="EQQ341" s="82"/>
      <c r="EQR341" s="83"/>
      <c r="EQS341" s="98"/>
      <c r="EQT341" s="85"/>
      <c r="EQU341" s="82"/>
      <c r="EQV341" s="82"/>
      <c r="EQW341" s="86"/>
      <c r="EQX341" s="82"/>
      <c r="EQY341" s="82"/>
      <c r="EQZ341" s="82"/>
      <c r="ERA341" s="82"/>
      <c r="ERB341" s="83"/>
      <c r="ERC341" s="98"/>
      <c r="ERD341" s="85"/>
      <c r="ERE341" s="82"/>
      <c r="ERF341" s="82"/>
      <c r="ERG341" s="86"/>
      <c r="ERH341" s="82"/>
      <c r="ERI341" s="82"/>
      <c r="ERJ341" s="82"/>
      <c r="ERK341" s="82"/>
      <c r="ERL341" s="83"/>
      <c r="ERM341" s="98"/>
      <c r="ERN341" s="85"/>
      <c r="ERO341" s="82"/>
      <c r="ERP341" s="82"/>
      <c r="ERQ341" s="86"/>
      <c r="ERR341" s="82"/>
      <c r="ERS341" s="82"/>
      <c r="ERT341" s="82"/>
      <c r="ERU341" s="82"/>
      <c r="ERV341" s="83"/>
      <c r="ERW341" s="98"/>
      <c r="ERX341" s="85"/>
      <c r="ERY341" s="82"/>
      <c r="ERZ341" s="82"/>
      <c r="ESA341" s="86"/>
      <c r="ESB341" s="82"/>
      <c r="ESC341" s="82"/>
      <c r="ESD341" s="82"/>
      <c r="ESE341" s="82"/>
      <c r="ESF341" s="83"/>
      <c r="ESG341" s="98"/>
      <c r="ESH341" s="85"/>
      <c r="ESI341" s="82"/>
      <c r="ESJ341" s="82"/>
      <c r="ESK341" s="86"/>
      <c r="ESL341" s="82"/>
      <c r="ESM341" s="82"/>
      <c r="ESN341" s="82"/>
      <c r="ESO341" s="82"/>
      <c r="ESP341" s="83"/>
      <c r="ESQ341" s="98"/>
      <c r="ESR341" s="85"/>
      <c r="ESS341" s="82"/>
      <c r="EST341" s="82"/>
      <c r="ESU341" s="86"/>
      <c r="ESV341" s="82"/>
      <c r="ESW341" s="82"/>
      <c r="ESX341" s="82"/>
      <c r="ESY341" s="82"/>
      <c r="ESZ341" s="83"/>
      <c r="ETA341" s="98"/>
      <c r="ETB341" s="85"/>
      <c r="ETC341" s="82"/>
      <c r="ETD341" s="82"/>
      <c r="ETE341" s="86"/>
      <c r="ETF341" s="82"/>
      <c r="ETG341" s="82"/>
      <c r="ETH341" s="82"/>
      <c r="ETI341" s="82"/>
      <c r="ETJ341" s="83"/>
      <c r="ETK341" s="98"/>
      <c r="ETL341" s="85"/>
      <c r="ETM341" s="82"/>
      <c r="ETN341" s="82"/>
      <c r="ETO341" s="86"/>
      <c r="ETP341" s="82"/>
      <c r="ETQ341" s="82"/>
      <c r="ETR341" s="82"/>
      <c r="ETS341" s="82"/>
      <c r="ETT341" s="83"/>
      <c r="ETU341" s="98"/>
      <c r="ETV341" s="85"/>
      <c r="ETW341" s="82"/>
      <c r="ETX341" s="82"/>
      <c r="ETY341" s="86"/>
      <c r="ETZ341" s="82"/>
      <c r="EUA341" s="82"/>
      <c r="EUB341" s="82"/>
      <c r="EUC341" s="82"/>
      <c r="EUD341" s="83"/>
      <c r="EUE341" s="98"/>
      <c r="EUF341" s="85"/>
      <c r="EUG341" s="82"/>
      <c r="EUH341" s="82"/>
      <c r="EUI341" s="86"/>
      <c r="EUJ341" s="82"/>
      <c r="EUK341" s="82"/>
      <c r="EUL341" s="82"/>
      <c r="EUM341" s="82"/>
      <c r="EUN341" s="83"/>
      <c r="EUO341" s="98"/>
      <c r="EUP341" s="85"/>
      <c r="EUQ341" s="82"/>
      <c r="EUR341" s="82"/>
      <c r="EUS341" s="86"/>
      <c r="EUT341" s="82"/>
      <c r="EUU341" s="82"/>
      <c r="EUV341" s="82"/>
      <c r="EUW341" s="82"/>
      <c r="EUX341" s="83"/>
      <c r="EUY341" s="98"/>
      <c r="EUZ341" s="85"/>
      <c r="EVA341" s="82"/>
      <c r="EVB341" s="82"/>
      <c r="EVC341" s="86"/>
      <c r="EVD341" s="82"/>
      <c r="EVE341" s="82"/>
      <c r="EVF341" s="82"/>
      <c r="EVG341" s="82"/>
      <c r="EVH341" s="83"/>
      <c r="EVI341" s="98"/>
      <c r="EVJ341" s="85"/>
      <c r="EVK341" s="82"/>
      <c r="EVL341" s="82"/>
      <c r="EVM341" s="86"/>
      <c r="EVN341" s="82"/>
      <c r="EVO341" s="82"/>
      <c r="EVP341" s="82"/>
      <c r="EVQ341" s="82"/>
      <c r="EVR341" s="83"/>
      <c r="EVS341" s="98"/>
      <c r="EVT341" s="85"/>
      <c r="EVU341" s="82"/>
      <c r="EVV341" s="82"/>
      <c r="EVW341" s="86"/>
      <c r="EVX341" s="82"/>
      <c r="EVY341" s="82"/>
      <c r="EVZ341" s="82"/>
      <c r="EWA341" s="82"/>
      <c r="EWB341" s="83"/>
      <c r="EWC341" s="98"/>
      <c r="EWD341" s="85"/>
      <c r="EWE341" s="82"/>
      <c r="EWF341" s="82"/>
      <c r="EWG341" s="86"/>
      <c r="EWH341" s="82"/>
      <c r="EWI341" s="82"/>
      <c r="EWJ341" s="82"/>
      <c r="EWK341" s="82"/>
      <c r="EWL341" s="83"/>
      <c r="EWM341" s="98"/>
      <c r="EWN341" s="85"/>
      <c r="EWO341" s="82"/>
      <c r="EWP341" s="82"/>
      <c r="EWQ341" s="86"/>
      <c r="EWR341" s="82"/>
      <c r="EWS341" s="82"/>
      <c r="EWT341" s="82"/>
      <c r="EWU341" s="82"/>
      <c r="EWV341" s="83"/>
      <c r="EWW341" s="98"/>
      <c r="EWX341" s="85"/>
      <c r="EWY341" s="82"/>
      <c r="EWZ341" s="82"/>
      <c r="EXA341" s="86"/>
      <c r="EXB341" s="82"/>
      <c r="EXC341" s="82"/>
      <c r="EXD341" s="82"/>
      <c r="EXE341" s="82"/>
      <c r="EXF341" s="83"/>
      <c r="EXG341" s="98"/>
      <c r="EXH341" s="85"/>
      <c r="EXI341" s="82"/>
      <c r="EXJ341" s="82"/>
      <c r="EXK341" s="86"/>
      <c r="EXL341" s="82"/>
      <c r="EXM341" s="82"/>
      <c r="EXN341" s="82"/>
      <c r="EXO341" s="82"/>
      <c r="EXP341" s="83"/>
      <c r="EXQ341" s="98"/>
      <c r="EXR341" s="85"/>
      <c r="EXS341" s="82"/>
      <c r="EXT341" s="82"/>
      <c r="EXU341" s="86"/>
      <c r="EXV341" s="82"/>
      <c r="EXW341" s="82"/>
      <c r="EXX341" s="82"/>
      <c r="EXY341" s="82"/>
      <c r="EXZ341" s="83"/>
      <c r="EYA341" s="98"/>
      <c r="EYB341" s="85"/>
      <c r="EYC341" s="82"/>
      <c r="EYD341" s="82"/>
      <c r="EYE341" s="86"/>
      <c r="EYF341" s="82"/>
      <c r="EYG341" s="82"/>
      <c r="EYH341" s="82"/>
      <c r="EYI341" s="82"/>
      <c r="EYJ341" s="83"/>
      <c r="EYK341" s="98"/>
      <c r="EYL341" s="85"/>
      <c r="EYM341" s="82"/>
      <c r="EYN341" s="82"/>
      <c r="EYO341" s="86"/>
      <c r="EYP341" s="82"/>
      <c r="EYQ341" s="82"/>
      <c r="EYR341" s="82"/>
      <c r="EYS341" s="82"/>
      <c r="EYT341" s="83"/>
      <c r="EYU341" s="98"/>
      <c r="EYV341" s="85"/>
      <c r="EYW341" s="82"/>
      <c r="EYX341" s="82"/>
      <c r="EYY341" s="86"/>
      <c r="EYZ341" s="82"/>
      <c r="EZA341" s="82"/>
      <c r="EZB341" s="82"/>
      <c r="EZC341" s="82"/>
      <c r="EZD341" s="83"/>
      <c r="EZE341" s="98"/>
      <c r="EZF341" s="85"/>
      <c r="EZG341" s="82"/>
      <c r="EZH341" s="82"/>
      <c r="EZI341" s="86"/>
      <c r="EZJ341" s="82"/>
      <c r="EZK341" s="82"/>
      <c r="EZL341" s="82"/>
      <c r="EZM341" s="82"/>
      <c r="EZN341" s="83"/>
      <c r="EZO341" s="98"/>
      <c r="EZP341" s="85"/>
      <c r="EZQ341" s="82"/>
      <c r="EZR341" s="82"/>
      <c r="EZS341" s="86"/>
      <c r="EZT341" s="82"/>
      <c r="EZU341" s="82"/>
      <c r="EZV341" s="82"/>
      <c r="EZW341" s="82"/>
      <c r="EZX341" s="83"/>
      <c r="EZY341" s="98"/>
      <c r="EZZ341" s="85"/>
      <c r="FAA341" s="82"/>
      <c r="FAB341" s="82"/>
      <c r="FAC341" s="86"/>
      <c r="FAD341" s="82"/>
      <c r="FAE341" s="82"/>
      <c r="FAF341" s="82"/>
      <c r="FAG341" s="82"/>
      <c r="FAH341" s="83"/>
      <c r="FAI341" s="98"/>
      <c r="FAJ341" s="85"/>
      <c r="FAK341" s="82"/>
      <c r="FAL341" s="82"/>
      <c r="FAM341" s="86"/>
      <c r="FAN341" s="82"/>
      <c r="FAO341" s="82"/>
      <c r="FAP341" s="82"/>
      <c r="FAQ341" s="82"/>
      <c r="FAR341" s="83"/>
      <c r="FAS341" s="98"/>
      <c r="FAT341" s="85"/>
      <c r="FAU341" s="82"/>
      <c r="FAV341" s="82"/>
      <c r="FAW341" s="86"/>
      <c r="FAX341" s="82"/>
      <c r="FAY341" s="82"/>
      <c r="FAZ341" s="82"/>
      <c r="FBA341" s="82"/>
      <c r="FBB341" s="83"/>
      <c r="FBC341" s="98"/>
      <c r="FBD341" s="85"/>
      <c r="FBE341" s="82"/>
      <c r="FBF341" s="82"/>
      <c r="FBG341" s="86"/>
      <c r="FBH341" s="82"/>
      <c r="FBI341" s="82"/>
      <c r="FBJ341" s="82"/>
      <c r="FBK341" s="82"/>
      <c r="FBL341" s="83"/>
      <c r="FBM341" s="98"/>
      <c r="FBN341" s="85"/>
      <c r="FBO341" s="82"/>
      <c r="FBP341" s="82"/>
      <c r="FBQ341" s="86"/>
      <c r="FBR341" s="82"/>
      <c r="FBS341" s="82"/>
      <c r="FBT341" s="82"/>
      <c r="FBU341" s="82"/>
      <c r="FBV341" s="83"/>
      <c r="FBW341" s="98"/>
      <c r="FBX341" s="85"/>
      <c r="FBY341" s="82"/>
      <c r="FBZ341" s="82"/>
      <c r="FCA341" s="86"/>
      <c r="FCB341" s="82"/>
      <c r="FCC341" s="82"/>
      <c r="FCD341" s="82"/>
      <c r="FCE341" s="82"/>
      <c r="FCF341" s="83"/>
      <c r="FCG341" s="98"/>
      <c r="FCH341" s="85"/>
      <c r="FCI341" s="82"/>
      <c r="FCJ341" s="82"/>
      <c r="FCK341" s="86"/>
      <c r="FCL341" s="82"/>
      <c r="FCM341" s="82"/>
      <c r="FCN341" s="82"/>
      <c r="FCO341" s="82"/>
      <c r="FCP341" s="83"/>
      <c r="FCQ341" s="98"/>
      <c r="FCR341" s="85"/>
      <c r="FCS341" s="82"/>
      <c r="FCT341" s="82"/>
      <c r="FCU341" s="86"/>
      <c r="FCV341" s="82"/>
      <c r="FCW341" s="82"/>
      <c r="FCX341" s="82"/>
      <c r="FCY341" s="82"/>
      <c r="FCZ341" s="83"/>
      <c r="FDA341" s="98"/>
      <c r="FDB341" s="85"/>
      <c r="FDC341" s="82"/>
      <c r="FDD341" s="82"/>
      <c r="FDE341" s="86"/>
      <c r="FDF341" s="82"/>
      <c r="FDG341" s="82"/>
      <c r="FDH341" s="82"/>
      <c r="FDI341" s="82"/>
      <c r="FDJ341" s="83"/>
      <c r="FDK341" s="98"/>
      <c r="FDL341" s="85"/>
      <c r="FDM341" s="82"/>
      <c r="FDN341" s="82"/>
      <c r="FDO341" s="86"/>
      <c r="FDP341" s="82"/>
      <c r="FDQ341" s="82"/>
      <c r="FDR341" s="82"/>
      <c r="FDS341" s="82"/>
      <c r="FDT341" s="83"/>
      <c r="FDU341" s="98"/>
      <c r="FDV341" s="85"/>
      <c r="FDW341" s="82"/>
      <c r="FDX341" s="82"/>
      <c r="FDY341" s="86"/>
      <c r="FDZ341" s="82"/>
      <c r="FEA341" s="82"/>
      <c r="FEB341" s="82"/>
      <c r="FEC341" s="82"/>
      <c r="FED341" s="83"/>
      <c r="FEE341" s="98"/>
      <c r="FEF341" s="85"/>
      <c r="FEG341" s="82"/>
      <c r="FEH341" s="82"/>
      <c r="FEI341" s="86"/>
      <c r="FEJ341" s="82"/>
      <c r="FEK341" s="82"/>
      <c r="FEL341" s="82"/>
      <c r="FEM341" s="82"/>
      <c r="FEN341" s="83"/>
      <c r="FEO341" s="98"/>
      <c r="FEP341" s="85"/>
      <c r="FEQ341" s="82"/>
      <c r="FER341" s="82"/>
      <c r="FES341" s="86"/>
      <c r="FET341" s="82"/>
      <c r="FEU341" s="82"/>
      <c r="FEV341" s="82"/>
      <c r="FEW341" s="82"/>
      <c r="FEX341" s="83"/>
      <c r="FEY341" s="98"/>
      <c r="FEZ341" s="85"/>
      <c r="FFA341" s="82"/>
      <c r="FFB341" s="82"/>
      <c r="FFC341" s="86"/>
      <c r="FFD341" s="82"/>
      <c r="FFE341" s="82"/>
      <c r="FFF341" s="82"/>
      <c r="FFG341" s="82"/>
      <c r="FFH341" s="83"/>
      <c r="FFI341" s="98"/>
      <c r="FFJ341" s="85"/>
      <c r="FFK341" s="82"/>
      <c r="FFL341" s="82"/>
      <c r="FFM341" s="86"/>
      <c r="FFN341" s="82"/>
      <c r="FFO341" s="82"/>
      <c r="FFP341" s="82"/>
      <c r="FFQ341" s="82"/>
      <c r="FFR341" s="83"/>
      <c r="FFS341" s="98"/>
      <c r="FFT341" s="85"/>
      <c r="FFU341" s="82"/>
      <c r="FFV341" s="82"/>
      <c r="FFW341" s="86"/>
      <c r="FFX341" s="82"/>
      <c r="FFY341" s="82"/>
      <c r="FFZ341" s="82"/>
      <c r="FGA341" s="82"/>
      <c r="FGB341" s="83"/>
      <c r="FGC341" s="98"/>
      <c r="FGD341" s="85"/>
      <c r="FGE341" s="82"/>
      <c r="FGF341" s="82"/>
      <c r="FGG341" s="86"/>
      <c r="FGH341" s="82"/>
      <c r="FGI341" s="82"/>
      <c r="FGJ341" s="82"/>
      <c r="FGK341" s="82"/>
      <c r="FGL341" s="83"/>
      <c r="FGM341" s="98"/>
      <c r="FGN341" s="85"/>
      <c r="FGO341" s="82"/>
      <c r="FGP341" s="82"/>
      <c r="FGQ341" s="86"/>
      <c r="FGR341" s="82"/>
      <c r="FGS341" s="82"/>
      <c r="FGT341" s="82"/>
      <c r="FGU341" s="82"/>
      <c r="FGV341" s="83"/>
      <c r="FGW341" s="98"/>
      <c r="FGX341" s="85"/>
      <c r="FGY341" s="82"/>
      <c r="FGZ341" s="82"/>
      <c r="FHA341" s="86"/>
      <c r="FHB341" s="82"/>
      <c r="FHC341" s="82"/>
      <c r="FHD341" s="82"/>
      <c r="FHE341" s="82"/>
      <c r="FHF341" s="83"/>
      <c r="FHG341" s="98"/>
      <c r="FHH341" s="85"/>
      <c r="FHI341" s="82"/>
      <c r="FHJ341" s="82"/>
      <c r="FHK341" s="86"/>
      <c r="FHL341" s="82"/>
      <c r="FHM341" s="82"/>
      <c r="FHN341" s="82"/>
      <c r="FHO341" s="82"/>
      <c r="FHP341" s="83"/>
      <c r="FHQ341" s="98"/>
      <c r="FHR341" s="85"/>
      <c r="FHS341" s="82"/>
      <c r="FHT341" s="82"/>
      <c r="FHU341" s="86"/>
      <c r="FHV341" s="82"/>
      <c r="FHW341" s="82"/>
      <c r="FHX341" s="82"/>
      <c r="FHY341" s="82"/>
      <c r="FHZ341" s="83"/>
      <c r="FIA341" s="98"/>
      <c r="FIB341" s="85"/>
      <c r="FIC341" s="82"/>
      <c r="FID341" s="82"/>
      <c r="FIE341" s="86"/>
      <c r="FIF341" s="82"/>
      <c r="FIG341" s="82"/>
      <c r="FIH341" s="82"/>
      <c r="FII341" s="82"/>
      <c r="FIJ341" s="83"/>
      <c r="FIK341" s="98"/>
      <c r="FIL341" s="85"/>
      <c r="FIM341" s="82"/>
      <c r="FIN341" s="82"/>
      <c r="FIO341" s="86"/>
      <c r="FIP341" s="82"/>
      <c r="FIQ341" s="82"/>
      <c r="FIR341" s="82"/>
      <c r="FIS341" s="82"/>
      <c r="FIT341" s="83"/>
      <c r="FIU341" s="98"/>
      <c r="FIV341" s="85"/>
      <c r="FIW341" s="82"/>
      <c r="FIX341" s="82"/>
      <c r="FIY341" s="86"/>
      <c r="FIZ341" s="82"/>
      <c r="FJA341" s="82"/>
      <c r="FJB341" s="82"/>
      <c r="FJC341" s="82"/>
      <c r="FJD341" s="83"/>
      <c r="FJE341" s="98"/>
      <c r="FJF341" s="85"/>
      <c r="FJG341" s="82"/>
      <c r="FJH341" s="82"/>
      <c r="FJI341" s="86"/>
      <c r="FJJ341" s="82"/>
      <c r="FJK341" s="82"/>
      <c r="FJL341" s="82"/>
      <c r="FJM341" s="82"/>
      <c r="FJN341" s="83"/>
      <c r="FJO341" s="98"/>
      <c r="FJP341" s="85"/>
      <c r="FJQ341" s="82"/>
      <c r="FJR341" s="82"/>
      <c r="FJS341" s="86"/>
      <c r="FJT341" s="82"/>
      <c r="FJU341" s="82"/>
      <c r="FJV341" s="82"/>
      <c r="FJW341" s="82"/>
      <c r="FJX341" s="83"/>
      <c r="FJY341" s="98"/>
      <c r="FJZ341" s="85"/>
      <c r="FKA341" s="82"/>
      <c r="FKB341" s="82"/>
      <c r="FKC341" s="86"/>
      <c r="FKD341" s="82"/>
      <c r="FKE341" s="82"/>
      <c r="FKF341" s="82"/>
      <c r="FKG341" s="82"/>
      <c r="FKH341" s="83"/>
      <c r="FKI341" s="98"/>
      <c r="FKJ341" s="85"/>
      <c r="FKK341" s="82"/>
      <c r="FKL341" s="82"/>
      <c r="FKM341" s="86"/>
      <c r="FKN341" s="82"/>
      <c r="FKO341" s="82"/>
      <c r="FKP341" s="82"/>
      <c r="FKQ341" s="82"/>
      <c r="FKR341" s="83"/>
      <c r="FKS341" s="98"/>
      <c r="FKT341" s="85"/>
      <c r="FKU341" s="82"/>
      <c r="FKV341" s="82"/>
      <c r="FKW341" s="86"/>
      <c r="FKX341" s="82"/>
      <c r="FKY341" s="82"/>
      <c r="FKZ341" s="82"/>
      <c r="FLA341" s="82"/>
      <c r="FLB341" s="83"/>
      <c r="FLC341" s="98"/>
      <c r="FLD341" s="85"/>
      <c r="FLE341" s="82"/>
      <c r="FLF341" s="82"/>
      <c r="FLG341" s="86"/>
      <c r="FLH341" s="82"/>
      <c r="FLI341" s="82"/>
      <c r="FLJ341" s="82"/>
      <c r="FLK341" s="82"/>
      <c r="FLL341" s="83"/>
      <c r="FLM341" s="98"/>
      <c r="FLN341" s="85"/>
      <c r="FLO341" s="82"/>
      <c r="FLP341" s="82"/>
      <c r="FLQ341" s="86"/>
      <c r="FLR341" s="82"/>
      <c r="FLS341" s="82"/>
      <c r="FLT341" s="82"/>
      <c r="FLU341" s="82"/>
      <c r="FLV341" s="83"/>
      <c r="FLW341" s="98"/>
      <c r="FLX341" s="85"/>
      <c r="FLY341" s="82"/>
      <c r="FLZ341" s="82"/>
      <c r="FMA341" s="86"/>
      <c r="FMB341" s="82"/>
      <c r="FMC341" s="82"/>
      <c r="FMD341" s="82"/>
      <c r="FME341" s="82"/>
      <c r="FMF341" s="83"/>
      <c r="FMG341" s="98"/>
      <c r="FMH341" s="85"/>
      <c r="FMI341" s="82"/>
      <c r="FMJ341" s="82"/>
      <c r="FMK341" s="86"/>
      <c r="FML341" s="82"/>
      <c r="FMM341" s="82"/>
      <c r="FMN341" s="82"/>
      <c r="FMO341" s="82"/>
      <c r="FMP341" s="83"/>
      <c r="FMQ341" s="98"/>
      <c r="FMR341" s="85"/>
      <c r="FMS341" s="82"/>
      <c r="FMT341" s="82"/>
      <c r="FMU341" s="86"/>
      <c r="FMV341" s="82"/>
      <c r="FMW341" s="82"/>
      <c r="FMX341" s="82"/>
      <c r="FMY341" s="82"/>
      <c r="FMZ341" s="83"/>
      <c r="FNA341" s="98"/>
      <c r="FNB341" s="85"/>
      <c r="FNC341" s="82"/>
      <c r="FND341" s="82"/>
      <c r="FNE341" s="86"/>
      <c r="FNF341" s="82"/>
      <c r="FNG341" s="82"/>
      <c r="FNH341" s="82"/>
      <c r="FNI341" s="82"/>
      <c r="FNJ341" s="83"/>
      <c r="FNK341" s="98"/>
      <c r="FNL341" s="85"/>
      <c r="FNM341" s="82"/>
      <c r="FNN341" s="82"/>
      <c r="FNO341" s="86"/>
      <c r="FNP341" s="82"/>
      <c r="FNQ341" s="82"/>
      <c r="FNR341" s="82"/>
      <c r="FNS341" s="82"/>
      <c r="FNT341" s="83"/>
      <c r="FNU341" s="98"/>
      <c r="FNV341" s="85"/>
      <c r="FNW341" s="82"/>
      <c r="FNX341" s="82"/>
      <c r="FNY341" s="86"/>
      <c r="FNZ341" s="82"/>
      <c r="FOA341" s="82"/>
      <c r="FOB341" s="82"/>
      <c r="FOC341" s="82"/>
      <c r="FOD341" s="83"/>
      <c r="FOE341" s="98"/>
      <c r="FOF341" s="85"/>
      <c r="FOG341" s="82"/>
      <c r="FOH341" s="82"/>
      <c r="FOI341" s="86"/>
      <c r="FOJ341" s="82"/>
      <c r="FOK341" s="82"/>
      <c r="FOL341" s="82"/>
      <c r="FOM341" s="82"/>
      <c r="FON341" s="83"/>
      <c r="FOO341" s="98"/>
      <c r="FOP341" s="85"/>
      <c r="FOQ341" s="82"/>
      <c r="FOR341" s="82"/>
      <c r="FOS341" s="86"/>
      <c r="FOT341" s="82"/>
      <c r="FOU341" s="82"/>
      <c r="FOV341" s="82"/>
      <c r="FOW341" s="82"/>
      <c r="FOX341" s="83"/>
      <c r="FOY341" s="98"/>
      <c r="FOZ341" s="85"/>
      <c r="FPA341" s="82"/>
      <c r="FPB341" s="82"/>
      <c r="FPC341" s="86"/>
      <c r="FPD341" s="82"/>
      <c r="FPE341" s="82"/>
      <c r="FPF341" s="82"/>
      <c r="FPG341" s="82"/>
      <c r="FPH341" s="83"/>
      <c r="FPI341" s="98"/>
      <c r="FPJ341" s="85"/>
      <c r="FPK341" s="82"/>
      <c r="FPL341" s="82"/>
      <c r="FPM341" s="86"/>
      <c r="FPN341" s="82"/>
      <c r="FPO341" s="82"/>
      <c r="FPP341" s="82"/>
      <c r="FPQ341" s="82"/>
      <c r="FPR341" s="83"/>
      <c r="FPS341" s="98"/>
      <c r="FPT341" s="85"/>
      <c r="FPU341" s="82"/>
      <c r="FPV341" s="82"/>
      <c r="FPW341" s="86"/>
      <c r="FPX341" s="82"/>
      <c r="FPY341" s="82"/>
      <c r="FPZ341" s="82"/>
      <c r="FQA341" s="82"/>
      <c r="FQB341" s="83"/>
      <c r="FQC341" s="98"/>
      <c r="FQD341" s="85"/>
      <c r="FQE341" s="82"/>
      <c r="FQF341" s="82"/>
      <c r="FQG341" s="86"/>
      <c r="FQH341" s="82"/>
      <c r="FQI341" s="82"/>
      <c r="FQJ341" s="82"/>
      <c r="FQK341" s="82"/>
      <c r="FQL341" s="83"/>
      <c r="FQM341" s="98"/>
      <c r="FQN341" s="85"/>
      <c r="FQO341" s="82"/>
      <c r="FQP341" s="82"/>
      <c r="FQQ341" s="86"/>
      <c r="FQR341" s="82"/>
      <c r="FQS341" s="82"/>
      <c r="FQT341" s="82"/>
      <c r="FQU341" s="82"/>
      <c r="FQV341" s="83"/>
      <c r="FQW341" s="98"/>
      <c r="FQX341" s="85"/>
      <c r="FQY341" s="82"/>
      <c r="FQZ341" s="82"/>
      <c r="FRA341" s="86"/>
      <c r="FRB341" s="82"/>
      <c r="FRC341" s="82"/>
      <c r="FRD341" s="82"/>
      <c r="FRE341" s="82"/>
      <c r="FRF341" s="83"/>
      <c r="FRG341" s="98"/>
      <c r="FRH341" s="85"/>
      <c r="FRI341" s="82"/>
      <c r="FRJ341" s="82"/>
      <c r="FRK341" s="86"/>
      <c r="FRL341" s="82"/>
      <c r="FRM341" s="82"/>
      <c r="FRN341" s="82"/>
      <c r="FRO341" s="82"/>
      <c r="FRP341" s="83"/>
      <c r="FRQ341" s="98"/>
      <c r="FRR341" s="85"/>
      <c r="FRS341" s="82"/>
      <c r="FRT341" s="82"/>
      <c r="FRU341" s="86"/>
      <c r="FRV341" s="82"/>
      <c r="FRW341" s="82"/>
      <c r="FRX341" s="82"/>
      <c r="FRY341" s="82"/>
      <c r="FRZ341" s="83"/>
      <c r="FSA341" s="98"/>
      <c r="FSB341" s="85"/>
      <c r="FSC341" s="82"/>
      <c r="FSD341" s="82"/>
      <c r="FSE341" s="86"/>
      <c r="FSF341" s="82"/>
      <c r="FSG341" s="82"/>
      <c r="FSH341" s="82"/>
      <c r="FSI341" s="82"/>
      <c r="FSJ341" s="83"/>
      <c r="FSK341" s="98"/>
      <c r="FSL341" s="85"/>
      <c r="FSM341" s="82"/>
      <c r="FSN341" s="82"/>
      <c r="FSO341" s="86"/>
      <c r="FSP341" s="82"/>
      <c r="FSQ341" s="82"/>
      <c r="FSR341" s="82"/>
      <c r="FSS341" s="82"/>
      <c r="FST341" s="83"/>
      <c r="FSU341" s="98"/>
      <c r="FSV341" s="85"/>
      <c r="FSW341" s="82"/>
      <c r="FSX341" s="82"/>
      <c r="FSY341" s="86"/>
      <c r="FSZ341" s="82"/>
      <c r="FTA341" s="82"/>
      <c r="FTB341" s="82"/>
      <c r="FTC341" s="82"/>
      <c r="FTD341" s="83"/>
      <c r="FTE341" s="98"/>
      <c r="FTF341" s="85"/>
      <c r="FTG341" s="82"/>
      <c r="FTH341" s="82"/>
      <c r="FTI341" s="86"/>
      <c r="FTJ341" s="82"/>
      <c r="FTK341" s="82"/>
      <c r="FTL341" s="82"/>
      <c r="FTM341" s="82"/>
      <c r="FTN341" s="83"/>
      <c r="FTO341" s="98"/>
      <c r="FTP341" s="85"/>
      <c r="FTQ341" s="82"/>
      <c r="FTR341" s="82"/>
      <c r="FTS341" s="86"/>
      <c r="FTT341" s="82"/>
      <c r="FTU341" s="82"/>
      <c r="FTV341" s="82"/>
      <c r="FTW341" s="82"/>
      <c r="FTX341" s="83"/>
      <c r="FTY341" s="98"/>
      <c r="FTZ341" s="85"/>
      <c r="FUA341" s="82"/>
      <c r="FUB341" s="82"/>
      <c r="FUC341" s="86"/>
      <c r="FUD341" s="82"/>
      <c r="FUE341" s="82"/>
      <c r="FUF341" s="82"/>
      <c r="FUG341" s="82"/>
      <c r="FUH341" s="83"/>
      <c r="FUI341" s="98"/>
      <c r="FUJ341" s="85"/>
      <c r="FUK341" s="82"/>
      <c r="FUL341" s="82"/>
      <c r="FUM341" s="86"/>
      <c r="FUN341" s="82"/>
      <c r="FUO341" s="82"/>
      <c r="FUP341" s="82"/>
      <c r="FUQ341" s="82"/>
      <c r="FUR341" s="83"/>
      <c r="FUS341" s="98"/>
      <c r="FUT341" s="85"/>
      <c r="FUU341" s="82"/>
      <c r="FUV341" s="82"/>
      <c r="FUW341" s="86"/>
      <c r="FUX341" s="82"/>
      <c r="FUY341" s="82"/>
      <c r="FUZ341" s="82"/>
      <c r="FVA341" s="82"/>
      <c r="FVB341" s="83"/>
      <c r="FVC341" s="98"/>
      <c r="FVD341" s="85"/>
      <c r="FVE341" s="82"/>
      <c r="FVF341" s="82"/>
      <c r="FVG341" s="86"/>
      <c r="FVH341" s="82"/>
      <c r="FVI341" s="82"/>
      <c r="FVJ341" s="82"/>
      <c r="FVK341" s="82"/>
      <c r="FVL341" s="83"/>
      <c r="FVM341" s="98"/>
      <c r="FVN341" s="85"/>
      <c r="FVO341" s="82"/>
      <c r="FVP341" s="82"/>
      <c r="FVQ341" s="86"/>
      <c r="FVR341" s="82"/>
      <c r="FVS341" s="82"/>
      <c r="FVT341" s="82"/>
      <c r="FVU341" s="82"/>
      <c r="FVV341" s="83"/>
      <c r="FVW341" s="98"/>
      <c r="FVX341" s="85"/>
      <c r="FVY341" s="82"/>
      <c r="FVZ341" s="82"/>
      <c r="FWA341" s="86"/>
      <c r="FWB341" s="82"/>
      <c r="FWC341" s="82"/>
      <c r="FWD341" s="82"/>
      <c r="FWE341" s="82"/>
      <c r="FWF341" s="83"/>
      <c r="FWG341" s="98"/>
      <c r="FWH341" s="85"/>
      <c r="FWI341" s="82"/>
      <c r="FWJ341" s="82"/>
      <c r="FWK341" s="86"/>
      <c r="FWL341" s="82"/>
      <c r="FWM341" s="82"/>
      <c r="FWN341" s="82"/>
      <c r="FWO341" s="82"/>
      <c r="FWP341" s="83"/>
      <c r="FWQ341" s="98"/>
      <c r="FWR341" s="85"/>
      <c r="FWS341" s="82"/>
      <c r="FWT341" s="82"/>
      <c r="FWU341" s="86"/>
      <c r="FWV341" s="82"/>
      <c r="FWW341" s="82"/>
      <c r="FWX341" s="82"/>
      <c r="FWY341" s="82"/>
      <c r="FWZ341" s="83"/>
      <c r="FXA341" s="98"/>
      <c r="FXB341" s="85"/>
      <c r="FXC341" s="82"/>
      <c r="FXD341" s="82"/>
      <c r="FXE341" s="86"/>
      <c r="FXF341" s="82"/>
      <c r="FXG341" s="82"/>
      <c r="FXH341" s="82"/>
      <c r="FXI341" s="82"/>
      <c r="FXJ341" s="83"/>
      <c r="FXK341" s="98"/>
      <c r="FXL341" s="85"/>
      <c r="FXM341" s="82"/>
      <c r="FXN341" s="82"/>
      <c r="FXO341" s="86"/>
      <c r="FXP341" s="82"/>
      <c r="FXQ341" s="82"/>
      <c r="FXR341" s="82"/>
      <c r="FXS341" s="82"/>
      <c r="FXT341" s="83"/>
      <c r="FXU341" s="98"/>
      <c r="FXV341" s="85"/>
      <c r="FXW341" s="82"/>
      <c r="FXX341" s="82"/>
      <c r="FXY341" s="86"/>
      <c r="FXZ341" s="82"/>
      <c r="FYA341" s="82"/>
      <c r="FYB341" s="82"/>
      <c r="FYC341" s="82"/>
      <c r="FYD341" s="83"/>
      <c r="FYE341" s="98"/>
      <c r="FYF341" s="85"/>
      <c r="FYG341" s="82"/>
      <c r="FYH341" s="82"/>
      <c r="FYI341" s="86"/>
      <c r="FYJ341" s="82"/>
      <c r="FYK341" s="82"/>
      <c r="FYL341" s="82"/>
      <c r="FYM341" s="82"/>
      <c r="FYN341" s="83"/>
      <c r="FYO341" s="98"/>
      <c r="FYP341" s="85"/>
      <c r="FYQ341" s="82"/>
      <c r="FYR341" s="82"/>
      <c r="FYS341" s="86"/>
      <c r="FYT341" s="82"/>
      <c r="FYU341" s="82"/>
      <c r="FYV341" s="82"/>
      <c r="FYW341" s="82"/>
      <c r="FYX341" s="83"/>
      <c r="FYY341" s="98"/>
      <c r="FYZ341" s="85"/>
      <c r="FZA341" s="82"/>
      <c r="FZB341" s="82"/>
      <c r="FZC341" s="86"/>
      <c r="FZD341" s="82"/>
      <c r="FZE341" s="82"/>
      <c r="FZF341" s="82"/>
      <c r="FZG341" s="82"/>
      <c r="FZH341" s="83"/>
      <c r="FZI341" s="98"/>
      <c r="FZJ341" s="85"/>
      <c r="FZK341" s="82"/>
      <c r="FZL341" s="82"/>
      <c r="FZM341" s="86"/>
      <c r="FZN341" s="82"/>
      <c r="FZO341" s="82"/>
      <c r="FZP341" s="82"/>
      <c r="FZQ341" s="82"/>
      <c r="FZR341" s="83"/>
      <c r="FZS341" s="98"/>
      <c r="FZT341" s="85"/>
      <c r="FZU341" s="82"/>
      <c r="FZV341" s="82"/>
      <c r="FZW341" s="86"/>
      <c r="FZX341" s="82"/>
      <c r="FZY341" s="82"/>
      <c r="FZZ341" s="82"/>
      <c r="GAA341" s="82"/>
      <c r="GAB341" s="83"/>
      <c r="GAC341" s="98"/>
      <c r="GAD341" s="85"/>
      <c r="GAE341" s="82"/>
      <c r="GAF341" s="82"/>
      <c r="GAG341" s="86"/>
      <c r="GAH341" s="82"/>
      <c r="GAI341" s="82"/>
      <c r="GAJ341" s="82"/>
      <c r="GAK341" s="82"/>
      <c r="GAL341" s="83"/>
      <c r="GAM341" s="98"/>
      <c r="GAN341" s="85"/>
      <c r="GAO341" s="82"/>
      <c r="GAP341" s="82"/>
      <c r="GAQ341" s="86"/>
      <c r="GAR341" s="82"/>
      <c r="GAS341" s="82"/>
      <c r="GAT341" s="82"/>
      <c r="GAU341" s="82"/>
      <c r="GAV341" s="83"/>
      <c r="GAW341" s="98"/>
      <c r="GAX341" s="85"/>
      <c r="GAY341" s="82"/>
      <c r="GAZ341" s="82"/>
      <c r="GBA341" s="86"/>
      <c r="GBB341" s="82"/>
      <c r="GBC341" s="82"/>
      <c r="GBD341" s="82"/>
      <c r="GBE341" s="82"/>
      <c r="GBF341" s="83"/>
      <c r="GBG341" s="98"/>
      <c r="GBH341" s="85"/>
      <c r="GBI341" s="82"/>
      <c r="GBJ341" s="82"/>
      <c r="GBK341" s="86"/>
      <c r="GBL341" s="82"/>
      <c r="GBM341" s="82"/>
      <c r="GBN341" s="82"/>
      <c r="GBO341" s="82"/>
      <c r="GBP341" s="83"/>
      <c r="GBQ341" s="98"/>
      <c r="GBR341" s="85"/>
      <c r="GBS341" s="82"/>
      <c r="GBT341" s="82"/>
      <c r="GBU341" s="86"/>
      <c r="GBV341" s="82"/>
      <c r="GBW341" s="82"/>
      <c r="GBX341" s="82"/>
      <c r="GBY341" s="82"/>
      <c r="GBZ341" s="83"/>
      <c r="GCA341" s="98"/>
      <c r="GCB341" s="85"/>
      <c r="GCC341" s="82"/>
      <c r="GCD341" s="82"/>
      <c r="GCE341" s="86"/>
      <c r="GCF341" s="82"/>
      <c r="GCG341" s="82"/>
      <c r="GCH341" s="82"/>
      <c r="GCI341" s="82"/>
      <c r="GCJ341" s="83"/>
      <c r="GCK341" s="98"/>
      <c r="GCL341" s="85"/>
      <c r="GCM341" s="82"/>
      <c r="GCN341" s="82"/>
      <c r="GCO341" s="86"/>
      <c r="GCP341" s="82"/>
      <c r="GCQ341" s="82"/>
      <c r="GCR341" s="82"/>
      <c r="GCS341" s="82"/>
      <c r="GCT341" s="83"/>
      <c r="GCU341" s="98"/>
      <c r="GCV341" s="85"/>
      <c r="GCW341" s="82"/>
      <c r="GCX341" s="82"/>
      <c r="GCY341" s="86"/>
      <c r="GCZ341" s="82"/>
      <c r="GDA341" s="82"/>
      <c r="GDB341" s="82"/>
      <c r="GDC341" s="82"/>
      <c r="GDD341" s="83"/>
      <c r="GDE341" s="98"/>
      <c r="GDF341" s="85"/>
      <c r="GDG341" s="82"/>
      <c r="GDH341" s="82"/>
      <c r="GDI341" s="86"/>
      <c r="GDJ341" s="82"/>
      <c r="GDK341" s="82"/>
      <c r="GDL341" s="82"/>
      <c r="GDM341" s="82"/>
      <c r="GDN341" s="83"/>
      <c r="GDO341" s="98"/>
      <c r="GDP341" s="85"/>
      <c r="GDQ341" s="82"/>
      <c r="GDR341" s="82"/>
      <c r="GDS341" s="86"/>
      <c r="GDT341" s="82"/>
      <c r="GDU341" s="82"/>
      <c r="GDV341" s="82"/>
      <c r="GDW341" s="82"/>
      <c r="GDX341" s="83"/>
      <c r="GDY341" s="98"/>
      <c r="GDZ341" s="85"/>
      <c r="GEA341" s="82"/>
      <c r="GEB341" s="82"/>
      <c r="GEC341" s="86"/>
      <c r="GED341" s="82"/>
      <c r="GEE341" s="82"/>
      <c r="GEF341" s="82"/>
      <c r="GEG341" s="82"/>
      <c r="GEH341" s="83"/>
      <c r="GEI341" s="98"/>
      <c r="GEJ341" s="85"/>
      <c r="GEK341" s="82"/>
      <c r="GEL341" s="82"/>
      <c r="GEM341" s="86"/>
      <c r="GEN341" s="82"/>
      <c r="GEO341" s="82"/>
      <c r="GEP341" s="82"/>
      <c r="GEQ341" s="82"/>
      <c r="GER341" s="83"/>
      <c r="GES341" s="98"/>
      <c r="GET341" s="85"/>
      <c r="GEU341" s="82"/>
      <c r="GEV341" s="82"/>
      <c r="GEW341" s="86"/>
      <c r="GEX341" s="82"/>
      <c r="GEY341" s="82"/>
      <c r="GEZ341" s="82"/>
      <c r="GFA341" s="82"/>
      <c r="GFB341" s="83"/>
      <c r="GFC341" s="98"/>
      <c r="GFD341" s="85"/>
      <c r="GFE341" s="82"/>
      <c r="GFF341" s="82"/>
      <c r="GFG341" s="86"/>
      <c r="GFH341" s="82"/>
      <c r="GFI341" s="82"/>
      <c r="GFJ341" s="82"/>
      <c r="GFK341" s="82"/>
      <c r="GFL341" s="83"/>
      <c r="GFM341" s="98"/>
      <c r="GFN341" s="85"/>
      <c r="GFO341" s="82"/>
      <c r="GFP341" s="82"/>
      <c r="GFQ341" s="86"/>
      <c r="GFR341" s="82"/>
      <c r="GFS341" s="82"/>
      <c r="GFT341" s="82"/>
      <c r="GFU341" s="82"/>
      <c r="GFV341" s="83"/>
      <c r="GFW341" s="98"/>
      <c r="GFX341" s="85"/>
      <c r="GFY341" s="82"/>
      <c r="GFZ341" s="82"/>
      <c r="GGA341" s="86"/>
      <c r="GGB341" s="82"/>
      <c r="GGC341" s="82"/>
      <c r="GGD341" s="82"/>
      <c r="GGE341" s="82"/>
      <c r="GGF341" s="83"/>
      <c r="GGG341" s="98"/>
      <c r="GGH341" s="85"/>
      <c r="GGI341" s="82"/>
      <c r="GGJ341" s="82"/>
      <c r="GGK341" s="86"/>
      <c r="GGL341" s="82"/>
      <c r="GGM341" s="82"/>
      <c r="GGN341" s="82"/>
      <c r="GGO341" s="82"/>
      <c r="GGP341" s="83"/>
      <c r="GGQ341" s="98"/>
      <c r="GGR341" s="85"/>
      <c r="GGS341" s="82"/>
      <c r="GGT341" s="82"/>
      <c r="GGU341" s="86"/>
      <c r="GGV341" s="82"/>
      <c r="GGW341" s="82"/>
      <c r="GGX341" s="82"/>
      <c r="GGY341" s="82"/>
      <c r="GGZ341" s="83"/>
      <c r="GHA341" s="98"/>
      <c r="GHB341" s="85"/>
      <c r="GHC341" s="82"/>
      <c r="GHD341" s="82"/>
      <c r="GHE341" s="86"/>
      <c r="GHF341" s="82"/>
      <c r="GHG341" s="82"/>
      <c r="GHH341" s="82"/>
      <c r="GHI341" s="82"/>
      <c r="GHJ341" s="83"/>
      <c r="GHK341" s="98"/>
      <c r="GHL341" s="85"/>
      <c r="GHM341" s="82"/>
      <c r="GHN341" s="82"/>
      <c r="GHO341" s="86"/>
      <c r="GHP341" s="82"/>
      <c r="GHQ341" s="82"/>
      <c r="GHR341" s="82"/>
      <c r="GHS341" s="82"/>
      <c r="GHT341" s="83"/>
      <c r="GHU341" s="98"/>
      <c r="GHV341" s="85"/>
      <c r="GHW341" s="82"/>
      <c r="GHX341" s="82"/>
      <c r="GHY341" s="86"/>
      <c r="GHZ341" s="82"/>
      <c r="GIA341" s="82"/>
      <c r="GIB341" s="82"/>
      <c r="GIC341" s="82"/>
      <c r="GID341" s="83"/>
      <c r="GIE341" s="98"/>
      <c r="GIF341" s="85"/>
      <c r="GIG341" s="82"/>
      <c r="GIH341" s="82"/>
      <c r="GII341" s="86"/>
      <c r="GIJ341" s="82"/>
      <c r="GIK341" s="82"/>
      <c r="GIL341" s="82"/>
      <c r="GIM341" s="82"/>
      <c r="GIN341" s="83"/>
      <c r="GIO341" s="98"/>
      <c r="GIP341" s="85"/>
      <c r="GIQ341" s="82"/>
      <c r="GIR341" s="82"/>
      <c r="GIS341" s="86"/>
      <c r="GIT341" s="82"/>
      <c r="GIU341" s="82"/>
      <c r="GIV341" s="82"/>
      <c r="GIW341" s="82"/>
      <c r="GIX341" s="83"/>
      <c r="GIY341" s="98"/>
      <c r="GIZ341" s="85"/>
      <c r="GJA341" s="82"/>
      <c r="GJB341" s="82"/>
      <c r="GJC341" s="86"/>
      <c r="GJD341" s="82"/>
      <c r="GJE341" s="82"/>
      <c r="GJF341" s="82"/>
      <c r="GJG341" s="82"/>
      <c r="GJH341" s="83"/>
      <c r="GJI341" s="98"/>
      <c r="GJJ341" s="85"/>
      <c r="GJK341" s="82"/>
      <c r="GJL341" s="82"/>
      <c r="GJM341" s="86"/>
      <c r="GJN341" s="82"/>
      <c r="GJO341" s="82"/>
      <c r="GJP341" s="82"/>
      <c r="GJQ341" s="82"/>
      <c r="GJR341" s="83"/>
      <c r="GJS341" s="98"/>
      <c r="GJT341" s="85"/>
      <c r="GJU341" s="82"/>
      <c r="GJV341" s="82"/>
      <c r="GJW341" s="86"/>
      <c r="GJX341" s="82"/>
      <c r="GJY341" s="82"/>
      <c r="GJZ341" s="82"/>
      <c r="GKA341" s="82"/>
      <c r="GKB341" s="83"/>
      <c r="GKC341" s="98"/>
      <c r="GKD341" s="85"/>
      <c r="GKE341" s="82"/>
      <c r="GKF341" s="82"/>
      <c r="GKG341" s="86"/>
      <c r="GKH341" s="82"/>
      <c r="GKI341" s="82"/>
      <c r="GKJ341" s="82"/>
      <c r="GKK341" s="82"/>
      <c r="GKL341" s="83"/>
      <c r="GKM341" s="98"/>
      <c r="GKN341" s="85"/>
      <c r="GKO341" s="82"/>
      <c r="GKP341" s="82"/>
      <c r="GKQ341" s="86"/>
      <c r="GKR341" s="82"/>
      <c r="GKS341" s="82"/>
      <c r="GKT341" s="82"/>
      <c r="GKU341" s="82"/>
      <c r="GKV341" s="83"/>
      <c r="GKW341" s="98"/>
      <c r="GKX341" s="85"/>
      <c r="GKY341" s="82"/>
      <c r="GKZ341" s="82"/>
      <c r="GLA341" s="86"/>
      <c r="GLB341" s="82"/>
      <c r="GLC341" s="82"/>
      <c r="GLD341" s="82"/>
      <c r="GLE341" s="82"/>
      <c r="GLF341" s="83"/>
      <c r="GLG341" s="98"/>
      <c r="GLH341" s="85"/>
      <c r="GLI341" s="82"/>
      <c r="GLJ341" s="82"/>
      <c r="GLK341" s="86"/>
      <c r="GLL341" s="82"/>
      <c r="GLM341" s="82"/>
      <c r="GLN341" s="82"/>
      <c r="GLO341" s="82"/>
      <c r="GLP341" s="83"/>
      <c r="GLQ341" s="98"/>
      <c r="GLR341" s="85"/>
      <c r="GLS341" s="82"/>
      <c r="GLT341" s="82"/>
      <c r="GLU341" s="86"/>
      <c r="GLV341" s="82"/>
      <c r="GLW341" s="82"/>
      <c r="GLX341" s="82"/>
      <c r="GLY341" s="82"/>
      <c r="GLZ341" s="83"/>
      <c r="GMA341" s="98"/>
      <c r="GMB341" s="85"/>
      <c r="GMC341" s="82"/>
      <c r="GMD341" s="82"/>
      <c r="GME341" s="86"/>
      <c r="GMF341" s="82"/>
      <c r="GMG341" s="82"/>
      <c r="GMH341" s="82"/>
      <c r="GMI341" s="82"/>
      <c r="GMJ341" s="83"/>
      <c r="GMK341" s="98"/>
      <c r="GML341" s="85"/>
      <c r="GMM341" s="82"/>
      <c r="GMN341" s="82"/>
      <c r="GMO341" s="86"/>
      <c r="GMP341" s="82"/>
      <c r="GMQ341" s="82"/>
      <c r="GMR341" s="82"/>
      <c r="GMS341" s="82"/>
      <c r="GMT341" s="83"/>
      <c r="GMU341" s="98"/>
      <c r="GMV341" s="85"/>
      <c r="GMW341" s="82"/>
      <c r="GMX341" s="82"/>
      <c r="GMY341" s="86"/>
      <c r="GMZ341" s="82"/>
      <c r="GNA341" s="82"/>
      <c r="GNB341" s="82"/>
      <c r="GNC341" s="82"/>
      <c r="GND341" s="83"/>
      <c r="GNE341" s="98"/>
      <c r="GNF341" s="85"/>
      <c r="GNG341" s="82"/>
      <c r="GNH341" s="82"/>
      <c r="GNI341" s="86"/>
      <c r="GNJ341" s="82"/>
      <c r="GNK341" s="82"/>
      <c r="GNL341" s="82"/>
      <c r="GNM341" s="82"/>
      <c r="GNN341" s="83"/>
      <c r="GNO341" s="98"/>
      <c r="GNP341" s="85"/>
      <c r="GNQ341" s="82"/>
      <c r="GNR341" s="82"/>
      <c r="GNS341" s="86"/>
      <c r="GNT341" s="82"/>
      <c r="GNU341" s="82"/>
      <c r="GNV341" s="82"/>
      <c r="GNW341" s="82"/>
      <c r="GNX341" s="83"/>
      <c r="GNY341" s="98"/>
      <c r="GNZ341" s="85"/>
      <c r="GOA341" s="82"/>
      <c r="GOB341" s="82"/>
      <c r="GOC341" s="86"/>
      <c r="GOD341" s="82"/>
      <c r="GOE341" s="82"/>
      <c r="GOF341" s="82"/>
      <c r="GOG341" s="82"/>
      <c r="GOH341" s="83"/>
      <c r="GOI341" s="98"/>
      <c r="GOJ341" s="85"/>
      <c r="GOK341" s="82"/>
      <c r="GOL341" s="82"/>
      <c r="GOM341" s="86"/>
      <c r="GON341" s="82"/>
      <c r="GOO341" s="82"/>
      <c r="GOP341" s="82"/>
      <c r="GOQ341" s="82"/>
      <c r="GOR341" s="83"/>
      <c r="GOS341" s="98"/>
      <c r="GOT341" s="85"/>
      <c r="GOU341" s="82"/>
      <c r="GOV341" s="82"/>
      <c r="GOW341" s="86"/>
      <c r="GOX341" s="82"/>
      <c r="GOY341" s="82"/>
      <c r="GOZ341" s="82"/>
      <c r="GPA341" s="82"/>
      <c r="GPB341" s="83"/>
      <c r="GPC341" s="98"/>
      <c r="GPD341" s="85"/>
      <c r="GPE341" s="82"/>
      <c r="GPF341" s="82"/>
      <c r="GPG341" s="86"/>
      <c r="GPH341" s="82"/>
      <c r="GPI341" s="82"/>
      <c r="GPJ341" s="82"/>
      <c r="GPK341" s="82"/>
      <c r="GPL341" s="83"/>
      <c r="GPM341" s="98"/>
      <c r="GPN341" s="85"/>
      <c r="GPO341" s="82"/>
      <c r="GPP341" s="82"/>
      <c r="GPQ341" s="86"/>
      <c r="GPR341" s="82"/>
      <c r="GPS341" s="82"/>
      <c r="GPT341" s="82"/>
      <c r="GPU341" s="82"/>
      <c r="GPV341" s="83"/>
      <c r="GPW341" s="98"/>
      <c r="GPX341" s="85"/>
      <c r="GPY341" s="82"/>
      <c r="GPZ341" s="82"/>
      <c r="GQA341" s="86"/>
      <c r="GQB341" s="82"/>
      <c r="GQC341" s="82"/>
      <c r="GQD341" s="82"/>
      <c r="GQE341" s="82"/>
      <c r="GQF341" s="83"/>
      <c r="GQG341" s="98"/>
      <c r="GQH341" s="85"/>
      <c r="GQI341" s="82"/>
      <c r="GQJ341" s="82"/>
      <c r="GQK341" s="86"/>
      <c r="GQL341" s="82"/>
      <c r="GQM341" s="82"/>
      <c r="GQN341" s="82"/>
      <c r="GQO341" s="82"/>
      <c r="GQP341" s="83"/>
      <c r="GQQ341" s="98"/>
      <c r="GQR341" s="85"/>
      <c r="GQS341" s="82"/>
      <c r="GQT341" s="82"/>
      <c r="GQU341" s="86"/>
      <c r="GQV341" s="82"/>
      <c r="GQW341" s="82"/>
      <c r="GQX341" s="82"/>
      <c r="GQY341" s="82"/>
      <c r="GQZ341" s="83"/>
      <c r="GRA341" s="98"/>
      <c r="GRB341" s="85"/>
      <c r="GRC341" s="82"/>
      <c r="GRD341" s="82"/>
      <c r="GRE341" s="86"/>
      <c r="GRF341" s="82"/>
      <c r="GRG341" s="82"/>
      <c r="GRH341" s="82"/>
      <c r="GRI341" s="82"/>
      <c r="GRJ341" s="83"/>
      <c r="GRK341" s="98"/>
      <c r="GRL341" s="85"/>
      <c r="GRM341" s="82"/>
      <c r="GRN341" s="82"/>
      <c r="GRO341" s="86"/>
      <c r="GRP341" s="82"/>
      <c r="GRQ341" s="82"/>
      <c r="GRR341" s="82"/>
      <c r="GRS341" s="82"/>
      <c r="GRT341" s="83"/>
      <c r="GRU341" s="98"/>
      <c r="GRV341" s="85"/>
      <c r="GRW341" s="82"/>
      <c r="GRX341" s="82"/>
      <c r="GRY341" s="86"/>
      <c r="GRZ341" s="82"/>
      <c r="GSA341" s="82"/>
      <c r="GSB341" s="82"/>
      <c r="GSC341" s="82"/>
      <c r="GSD341" s="83"/>
      <c r="GSE341" s="98"/>
      <c r="GSF341" s="85"/>
      <c r="GSG341" s="82"/>
      <c r="GSH341" s="82"/>
      <c r="GSI341" s="86"/>
      <c r="GSJ341" s="82"/>
      <c r="GSK341" s="82"/>
      <c r="GSL341" s="82"/>
      <c r="GSM341" s="82"/>
      <c r="GSN341" s="83"/>
      <c r="GSO341" s="98"/>
      <c r="GSP341" s="85"/>
      <c r="GSQ341" s="82"/>
      <c r="GSR341" s="82"/>
      <c r="GSS341" s="86"/>
      <c r="GST341" s="82"/>
      <c r="GSU341" s="82"/>
      <c r="GSV341" s="82"/>
      <c r="GSW341" s="82"/>
      <c r="GSX341" s="83"/>
      <c r="GSY341" s="98"/>
      <c r="GSZ341" s="85"/>
      <c r="GTA341" s="82"/>
      <c r="GTB341" s="82"/>
      <c r="GTC341" s="86"/>
      <c r="GTD341" s="82"/>
      <c r="GTE341" s="82"/>
      <c r="GTF341" s="82"/>
      <c r="GTG341" s="82"/>
      <c r="GTH341" s="83"/>
      <c r="GTI341" s="98"/>
      <c r="GTJ341" s="85"/>
      <c r="GTK341" s="82"/>
      <c r="GTL341" s="82"/>
      <c r="GTM341" s="86"/>
      <c r="GTN341" s="82"/>
      <c r="GTO341" s="82"/>
      <c r="GTP341" s="82"/>
      <c r="GTQ341" s="82"/>
      <c r="GTR341" s="83"/>
      <c r="GTS341" s="98"/>
      <c r="GTT341" s="85"/>
      <c r="GTU341" s="82"/>
      <c r="GTV341" s="82"/>
      <c r="GTW341" s="86"/>
      <c r="GTX341" s="82"/>
      <c r="GTY341" s="82"/>
      <c r="GTZ341" s="82"/>
      <c r="GUA341" s="82"/>
      <c r="GUB341" s="83"/>
      <c r="GUC341" s="98"/>
      <c r="GUD341" s="85"/>
      <c r="GUE341" s="82"/>
      <c r="GUF341" s="82"/>
      <c r="GUG341" s="86"/>
      <c r="GUH341" s="82"/>
      <c r="GUI341" s="82"/>
      <c r="GUJ341" s="82"/>
      <c r="GUK341" s="82"/>
      <c r="GUL341" s="83"/>
      <c r="GUM341" s="98"/>
      <c r="GUN341" s="85"/>
      <c r="GUO341" s="82"/>
      <c r="GUP341" s="82"/>
      <c r="GUQ341" s="86"/>
      <c r="GUR341" s="82"/>
      <c r="GUS341" s="82"/>
      <c r="GUT341" s="82"/>
      <c r="GUU341" s="82"/>
      <c r="GUV341" s="83"/>
      <c r="GUW341" s="98"/>
      <c r="GUX341" s="85"/>
      <c r="GUY341" s="82"/>
      <c r="GUZ341" s="82"/>
      <c r="GVA341" s="86"/>
      <c r="GVB341" s="82"/>
      <c r="GVC341" s="82"/>
      <c r="GVD341" s="82"/>
      <c r="GVE341" s="82"/>
      <c r="GVF341" s="83"/>
      <c r="GVG341" s="98"/>
      <c r="GVH341" s="85"/>
      <c r="GVI341" s="82"/>
      <c r="GVJ341" s="82"/>
      <c r="GVK341" s="86"/>
      <c r="GVL341" s="82"/>
      <c r="GVM341" s="82"/>
      <c r="GVN341" s="82"/>
      <c r="GVO341" s="82"/>
      <c r="GVP341" s="83"/>
      <c r="GVQ341" s="98"/>
      <c r="GVR341" s="85"/>
      <c r="GVS341" s="82"/>
      <c r="GVT341" s="82"/>
      <c r="GVU341" s="86"/>
      <c r="GVV341" s="82"/>
      <c r="GVW341" s="82"/>
      <c r="GVX341" s="82"/>
      <c r="GVY341" s="82"/>
      <c r="GVZ341" s="83"/>
      <c r="GWA341" s="98"/>
      <c r="GWB341" s="85"/>
      <c r="GWC341" s="82"/>
      <c r="GWD341" s="82"/>
      <c r="GWE341" s="86"/>
      <c r="GWF341" s="82"/>
      <c r="GWG341" s="82"/>
      <c r="GWH341" s="82"/>
      <c r="GWI341" s="82"/>
      <c r="GWJ341" s="83"/>
      <c r="GWK341" s="98"/>
      <c r="GWL341" s="85"/>
      <c r="GWM341" s="82"/>
      <c r="GWN341" s="82"/>
      <c r="GWO341" s="86"/>
      <c r="GWP341" s="82"/>
      <c r="GWQ341" s="82"/>
      <c r="GWR341" s="82"/>
      <c r="GWS341" s="82"/>
      <c r="GWT341" s="83"/>
      <c r="GWU341" s="98"/>
      <c r="GWV341" s="85"/>
      <c r="GWW341" s="82"/>
      <c r="GWX341" s="82"/>
      <c r="GWY341" s="86"/>
      <c r="GWZ341" s="82"/>
      <c r="GXA341" s="82"/>
      <c r="GXB341" s="82"/>
      <c r="GXC341" s="82"/>
      <c r="GXD341" s="83"/>
      <c r="GXE341" s="98"/>
      <c r="GXF341" s="85"/>
      <c r="GXG341" s="82"/>
      <c r="GXH341" s="82"/>
      <c r="GXI341" s="86"/>
      <c r="GXJ341" s="82"/>
      <c r="GXK341" s="82"/>
      <c r="GXL341" s="82"/>
      <c r="GXM341" s="82"/>
      <c r="GXN341" s="83"/>
      <c r="GXO341" s="98"/>
      <c r="GXP341" s="85"/>
      <c r="GXQ341" s="82"/>
      <c r="GXR341" s="82"/>
      <c r="GXS341" s="86"/>
      <c r="GXT341" s="82"/>
      <c r="GXU341" s="82"/>
      <c r="GXV341" s="82"/>
      <c r="GXW341" s="82"/>
      <c r="GXX341" s="83"/>
      <c r="GXY341" s="98"/>
      <c r="GXZ341" s="85"/>
      <c r="GYA341" s="82"/>
      <c r="GYB341" s="82"/>
      <c r="GYC341" s="86"/>
      <c r="GYD341" s="82"/>
      <c r="GYE341" s="82"/>
      <c r="GYF341" s="82"/>
      <c r="GYG341" s="82"/>
      <c r="GYH341" s="83"/>
      <c r="GYI341" s="98"/>
      <c r="GYJ341" s="85"/>
      <c r="GYK341" s="82"/>
      <c r="GYL341" s="82"/>
      <c r="GYM341" s="86"/>
      <c r="GYN341" s="82"/>
      <c r="GYO341" s="82"/>
      <c r="GYP341" s="82"/>
      <c r="GYQ341" s="82"/>
      <c r="GYR341" s="83"/>
      <c r="GYS341" s="98"/>
      <c r="GYT341" s="85"/>
      <c r="GYU341" s="82"/>
      <c r="GYV341" s="82"/>
      <c r="GYW341" s="86"/>
      <c r="GYX341" s="82"/>
      <c r="GYY341" s="82"/>
      <c r="GYZ341" s="82"/>
      <c r="GZA341" s="82"/>
      <c r="GZB341" s="83"/>
      <c r="GZC341" s="98"/>
      <c r="GZD341" s="85"/>
      <c r="GZE341" s="82"/>
      <c r="GZF341" s="82"/>
      <c r="GZG341" s="86"/>
      <c r="GZH341" s="82"/>
      <c r="GZI341" s="82"/>
      <c r="GZJ341" s="82"/>
      <c r="GZK341" s="82"/>
      <c r="GZL341" s="83"/>
      <c r="GZM341" s="98"/>
      <c r="GZN341" s="85"/>
      <c r="GZO341" s="82"/>
      <c r="GZP341" s="82"/>
      <c r="GZQ341" s="86"/>
      <c r="GZR341" s="82"/>
      <c r="GZS341" s="82"/>
      <c r="GZT341" s="82"/>
      <c r="GZU341" s="82"/>
      <c r="GZV341" s="83"/>
      <c r="GZW341" s="98"/>
      <c r="GZX341" s="85"/>
      <c r="GZY341" s="82"/>
      <c r="GZZ341" s="82"/>
      <c r="HAA341" s="86"/>
      <c r="HAB341" s="82"/>
      <c r="HAC341" s="82"/>
      <c r="HAD341" s="82"/>
      <c r="HAE341" s="82"/>
      <c r="HAF341" s="83"/>
      <c r="HAG341" s="98"/>
      <c r="HAH341" s="85"/>
      <c r="HAI341" s="82"/>
      <c r="HAJ341" s="82"/>
      <c r="HAK341" s="86"/>
      <c r="HAL341" s="82"/>
      <c r="HAM341" s="82"/>
      <c r="HAN341" s="82"/>
      <c r="HAO341" s="82"/>
      <c r="HAP341" s="83"/>
      <c r="HAQ341" s="98"/>
      <c r="HAR341" s="85"/>
      <c r="HAS341" s="82"/>
      <c r="HAT341" s="82"/>
      <c r="HAU341" s="86"/>
      <c r="HAV341" s="82"/>
      <c r="HAW341" s="82"/>
      <c r="HAX341" s="82"/>
      <c r="HAY341" s="82"/>
      <c r="HAZ341" s="83"/>
      <c r="HBA341" s="98"/>
      <c r="HBB341" s="85"/>
      <c r="HBC341" s="82"/>
      <c r="HBD341" s="82"/>
      <c r="HBE341" s="86"/>
      <c r="HBF341" s="82"/>
      <c r="HBG341" s="82"/>
      <c r="HBH341" s="82"/>
      <c r="HBI341" s="82"/>
      <c r="HBJ341" s="83"/>
      <c r="HBK341" s="98"/>
      <c r="HBL341" s="85"/>
      <c r="HBM341" s="82"/>
      <c r="HBN341" s="82"/>
      <c r="HBO341" s="86"/>
      <c r="HBP341" s="82"/>
      <c r="HBQ341" s="82"/>
      <c r="HBR341" s="82"/>
      <c r="HBS341" s="82"/>
      <c r="HBT341" s="83"/>
      <c r="HBU341" s="98"/>
      <c r="HBV341" s="85"/>
      <c r="HBW341" s="82"/>
      <c r="HBX341" s="82"/>
      <c r="HBY341" s="86"/>
      <c r="HBZ341" s="82"/>
      <c r="HCA341" s="82"/>
      <c r="HCB341" s="82"/>
      <c r="HCC341" s="82"/>
      <c r="HCD341" s="83"/>
      <c r="HCE341" s="98"/>
      <c r="HCF341" s="85"/>
      <c r="HCG341" s="82"/>
      <c r="HCH341" s="82"/>
      <c r="HCI341" s="86"/>
      <c r="HCJ341" s="82"/>
      <c r="HCK341" s="82"/>
      <c r="HCL341" s="82"/>
      <c r="HCM341" s="82"/>
      <c r="HCN341" s="83"/>
      <c r="HCO341" s="98"/>
      <c r="HCP341" s="85"/>
      <c r="HCQ341" s="82"/>
      <c r="HCR341" s="82"/>
      <c r="HCS341" s="86"/>
      <c r="HCT341" s="82"/>
      <c r="HCU341" s="82"/>
      <c r="HCV341" s="82"/>
      <c r="HCW341" s="82"/>
      <c r="HCX341" s="83"/>
      <c r="HCY341" s="98"/>
      <c r="HCZ341" s="85"/>
      <c r="HDA341" s="82"/>
      <c r="HDB341" s="82"/>
      <c r="HDC341" s="86"/>
      <c r="HDD341" s="82"/>
      <c r="HDE341" s="82"/>
      <c r="HDF341" s="82"/>
      <c r="HDG341" s="82"/>
      <c r="HDH341" s="83"/>
      <c r="HDI341" s="98"/>
      <c r="HDJ341" s="85"/>
      <c r="HDK341" s="82"/>
      <c r="HDL341" s="82"/>
      <c r="HDM341" s="86"/>
      <c r="HDN341" s="82"/>
      <c r="HDO341" s="82"/>
      <c r="HDP341" s="82"/>
      <c r="HDQ341" s="82"/>
      <c r="HDR341" s="83"/>
      <c r="HDS341" s="98"/>
      <c r="HDT341" s="85"/>
      <c r="HDU341" s="82"/>
      <c r="HDV341" s="82"/>
      <c r="HDW341" s="86"/>
      <c r="HDX341" s="82"/>
      <c r="HDY341" s="82"/>
      <c r="HDZ341" s="82"/>
      <c r="HEA341" s="82"/>
      <c r="HEB341" s="83"/>
      <c r="HEC341" s="98"/>
      <c r="HED341" s="85"/>
      <c r="HEE341" s="82"/>
      <c r="HEF341" s="82"/>
      <c r="HEG341" s="86"/>
      <c r="HEH341" s="82"/>
      <c r="HEI341" s="82"/>
      <c r="HEJ341" s="82"/>
      <c r="HEK341" s="82"/>
      <c r="HEL341" s="83"/>
      <c r="HEM341" s="98"/>
      <c r="HEN341" s="85"/>
      <c r="HEO341" s="82"/>
      <c r="HEP341" s="82"/>
      <c r="HEQ341" s="86"/>
      <c r="HER341" s="82"/>
      <c r="HES341" s="82"/>
      <c r="HET341" s="82"/>
      <c r="HEU341" s="82"/>
      <c r="HEV341" s="83"/>
      <c r="HEW341" s="98"/>
      <c r="HEX341" s="85"/>
      <c r="HEY341" s="82"/>
      <c r="HEZ341" s="82"/>
      <c r="HFA341" s="86"/>
      <c r="HFB341" s="82"/>
      <c r="HFC341" s="82"/>
      <c r="HFD341" s="82"/>
      <c r="HFE341" s="82"/>
      <c r="HFF341" s="83"/>
      <c r="HFG341" s="98"/>
      <c r="HFH341" s="85"/>
      <c r="HFI341" s="82"/>
      <c r="HFJ341" s="82"/>
      <c r="HFK341" s="86"/>
      <c r="HFL341" s="82"/>
      <c r="HFM341" s="82"/>
      <c r="HFN341" s="82"/>
      <c r="HFO341" s="82"/>
      <c r="HFP341" s="83"/>
      <c r="HFQ341" s="98"/>
      <c r="HFR341" s="85"/>
      <c r="HFS341" s="82"/>
      <c r="HFT341" s="82"/>
      <c r="HFU341" s="86"/>
      <c r="HFV341" s="82"/>
      <c r="HFW341" s="82"/>
      <c r="HFX341" s="82"/>
      <c r="HFY341" s="82"/>
      <c r="HFZ341" s="83"/>
      <c r="HGA341" s="98"/>
      <c r="HGB341" s="85"/>
      <c r="HGC341" s="82"/>
      <c r="HGD341" s="82"/>
      <c r="HGE341" s="86"/>
      <c r="HGF341" s="82"/>
      <c r="HGG341" s="82"/>
      <c r="HGH341" s="82"/>
      <c r="HGI341" s="82"/>
      <c r="HGJ341" s="83"/>
      <c r="HGK341" s="98"/>
      <c r="HGL341" s="85"/>
      <c r="HGM341" s="82"/>
      <c r="HGN341" s="82"/>
      <c r="HGO341" s="86"/>
      <c r="HGP341" s="82"/>
      <c r="HGQ341" s="82"/>
      <c r="HGR341" s="82"/>
      <c r="HGS341" s="82"/>
      <c r="HGT341" s="83"/>
      <c r="HGU341" s="98"/>
      <c r="HGV341" s="85"/>
      <c r="HGW341" s="82"/>
      <c r="HGX341" s="82"/>
      <c r="HGY341" s="86"/>
      <c r="HGZ341" s="82"/>
      <c r="HHA341" s="82"/>
      <c r="HHB341" s="82"/>
      <c r="HHC341" s="82"/>
      <c r="HHD341" s="83"/>
      <c r="HHE341" s="98"/>
      <c r="HHF341" s="85"/>
      <c r="HHG341" s="82"/>
      <c r="HHH341" s="82"/>
      <c r="HHI341" s="86"/>
      <c r="HHJ341" s="82"/>
      <c r="HHK341" s="82"/>
      <c r="HHL341" s="82"/>
      <c r="HHM341" s="82"/>
      <c r="HHN341" s="83"/>
      <c r="HHO341" s="98"/>
      <c r="HHP341" s="85"/>
      <c r="HHQ341" s="82"/>
      <c r="HHR341" s="82"/>
      <c r="HHS341" s="86"/>
      <c r="HHT341" s="82"/>
      <c r="HHU341" s="82"/>
      <c r="HHV341" s="82"/>
      <c r="HHW341" s="82"/>
      <c r="HHX341" s="83"/>
      <c r="HHY341" s="98"/>
      <c r="HHZ341" s="85"/>
      <c r="HIA341" s="82"/>
      <c r="HIB341" s="82"/>
      <c r="HIC341" s="86"/>
      <c r="HID341" s="82"/>
      <c r="HIE341" s="82"/>
      <c r="HIF341" s="82"/>
      <c r="HIG341" s="82"/>
      <c r="HIH341" s="83"/>
      <c r="HII341" s="98"/>
      <c r="HIJ341" s="85"/>
      <c r="HIK341" s="82"/>
      <c r="HIL341" s="82"/>
      <c r="HIM341" s="86"/>
      <c r="HIN341" s="82"/>
      <c r="HIO341" s="82"/>
      <c r="HIP341" s="82"/>
      <c r="HIQ341" s="82"/>
      <c r="HIR341" s="83"/>
      <c r="HIS341" s="98"/>
      <c r="HIT341" s="85"/>
      <c r="HIU341" s="82"/>
      <c r="HIV341" s="82"/>
      <c r="HIW341" s="86"/>
      <c r="HIX341" s="82"/>
      <c r="HIY341" s="82"/>
      <c r="HIZ341" s="82"/>
      <c r="HJA341" s="82"/>
      <c r="HJB341" s="83"/>
      <c r="HJC341" s="98"/>
      <c r="HJD341" s="85"/>
      <c r="HJE341" s="82"/>
      <c r="HJF341" s="82"/>
      <c r="HJG341" s="86"/>
      <c r="HJH341" s="82"/>
      <c r="HJI341" s="82"/>
      <c r="HJJ341" s="82"/>
      <c r="HJK341" s="82"/>
      <c r="HJL341" s="83"/>
      <c r="HJM341" s="98"/>
      <c r="HJN341" s="85"/>
      <c r="HJO341" s="82"/>
      <c r="HJP341" s="82"/>
      <c r="HJQ341" s="86"/>
      <c r="HJR341" s="82"/>
      <c r="HJS341" s="82"/>
      <c r="HJT341" s="82"/>
      <c r="HJU341" s="82"/>
      <c r="HJV341" s="83"/>
      <c r="HJW341" s="98"/>
      <c r="HJX341" s="85"/>
      <c r="HJY341" s="82"/>
      <c r="HJZ341" s="82"/>
      <c r="HKA341" s="86"/>
      <c r="HKB341" s="82"/>
      <c r="HKC341" s="82"/>
      <c r="HKD341" s="82"/>
      <c r="HKE341" s="82"/>
      <c r="HKF341" s="83"/>
      <c r="HKG341" s="98"/>
      <c r="HKH341" s="85"/>
      <c r="HKI341" s="82"/>
      <c r="HKJ341" s="82"/>
      <c r="HKK341" s="86"/>
      <c r="HKL341" s="82"/>
      <c r="HKM341" s="82"/>
      <c r="HKN341" s="82"/>
      <c r="HKO341" s="82"/>
      <c r="HKP341" s="83"/>
      <c r="HKQ341" s="98"/>
      <c r="HKR341" s="85"/>
      <c r="HKS341" s="82"/>
      <c r="HKT341" s="82"/>
      <c r="HKU341" s="86"/>
      <c r="HKV341" s="82"/>
      <c r="HKW341" s="82"/>
      <c r="HKX341" s="82"/>
      <c r="HKY341" s="82"/>
      <c r="HKZ341" s="83"/>
      <c r="HLA341" s="98"/>
      <c r="HLB341" s="85"/>
      <c r="HLC341" s="82"/>
      <c r="HLD341" s="82"/>
      <c r="HLE341" s="86"/>
      <c r="HLF341" s="82"/>
      <c r="HLG341" s="82"/>
      <c r="HLH341" s="82"/>
      <c r="HLI341" s="82"/>
      <c r="HLJ341" s="83"/>
      <c r="HLK341" s="98"/>
      <c r="HLL341" s="85"/>
      <c r="HLM341" s="82"/>
      <c r="HLN341" s="82"/>
      <c r="HLO341" s="86"/>
      <c r="HLP341" s="82"/>
      <c r="HLQ341" s="82"/>
      <c r="HLR341" s="82"/>
      <c r="HLS341" s="82"/>
      <c r="HLT341" s="83"/>
      <c r="HLU341" s="98"/>
      <c r="HLV341" s="85"/>
      <c r="HLW341" s="82"/>
      <c r="HLX341" s="82"/>
      <c r="HLY341" s="86"/>
      <c r="HLZ341" s="82"/>
      <c r="HMA341" s="82"/>
      <c r="HMB341" s="82"/>
      <c r="HMC341" s="82"/>
      <c r="HMD341" s="83"/>
      <c r="HME341" s="98"/>
      <c r="HMF341" s="85"/>
      <c r="HMG341" s="82"/>
      <c r="HMH341" s="82"/>
      <c r="HMI341" s="86"/>
      <c r="HMJ341" s="82"/>
      <c r="HMK341" s="82"/>
      <c r="HML341" s="82"/>
      <c r="HMM341" s="82"/>
      <c r="HMN341" s="83"/>
      <c r="HMO341" s="98"/>
      <c r="HMP341" s="85"/>
      <c r="HMQ341" s="82"/>
      <c r="HMR341" s="82"/>
      <c r="HMS341" s="86"/>
      <c r="HMT341" s="82"/>
      <c r="HMU341" s="82"/>
      <c r="HMV341" s="82"/>
      <c r="HMW341" s="82"/>
      <c r="HMX341" s="83"/>
      <c r="HMY341" s="98"/>
      <c r="HMZ341" s="85"/>
      <c r="HNA341" s="82"/>
      <c r="HNB341" s="82"/>
      <c r="HNC341" s="86"/>
      <c r="HND341" s="82"/>
      <c r="HNE341" s="82"/>
      <c r="HNF341" s="82"/>
      <c r="HNG341" s="82"/>
      <c r="HNH341" s="83"/>
      <c r="HNI341" s="98"/>
      <c r="HNJ341" s="85"/>
      <c r="HNK341" s="82"/>
      <c r="HNL341" s="82"/>
      <c r="HNM341" s="86"/>
      <c r="HNN341" s="82"/>
      <c r="HNO341" s="82"/>
      <c r="HNP341" s="82"/>
      <c r="HNQ341" s="82"/>
      <c r="HNR341" s="83"/>
      <c r="HNS341" s="98"/>
      <c r="HNT341" s="85"/>
      <c r="HNU341" s="82"/>
      <c r="HNV341" s="82"/>
      <c r="HNW341" s="86"/>
      <c r="HNX341" s="82"/>
      <c r="HNY341" s="82"/>
      <c r="HNZ341" s="82"/>
      <c r="HOA341" s="82"/>
      <c r="HOB341" s="83"/>
      <c r="HOC341" s="98"/>
      <c r="HOD341" s="85"/>
      <c r="HOE341" s="82"/>
      <c r="HOF341" s="82"/>
      <c r="HOG341" s="86"/>
      <c r="HOH341" s="82"/>
      <c r="HOI341" s="82"/>
      <c r="HOJ341" s="82"/>
      <c r="HOK341" s="82"/>
      <c r="HOL341" s="83"/>
      <c r="HOM341" s="98"/>
      <c r="HON341" s="85"/>
      <c r="HOO341" s="82"/>
      <c r="HOP341" s="82"/>
      <c r="HOQ341" s="86"/>
      <c r="HOR341" s="82"/>
      <c r="HOS341" s="82"/>
      <c r="HOT341" s="82"/>
      <c r="HOU341" s="82"/>
      <c r="HOV341" s="83"/>
      <c r="HOW341" s="98"/>
      <c r="HOX341" s="85"/>
      <c r="HOY341" s="82"/>
      <c r="HOZ341" s="82"/>
      <c r="HPA341" s="86"/>
      <c r="HPB341" s="82"/>
      <c r="HPC341" s="82"/>
      <c r="HPD341" s="82"/>
      <c r="HPE341" s="82"/>
      <c r="HPF341" s="83"/>
      <c r="HPG341" s="98"/>
      <c r="HPH341" s="85"/>
      <c r="HPI341" s="82"/>
      <c r="HPJ341" s="82"/>
      <c r="HPK341" s="86"/>
      <c r="HPL341" s="82"/>
      <c r="HPM341" s="82"/>
      <c r="HPN341" s="82"/>
      <c r="HPO341" s="82"/>
      <c r="HPP341" s="83"/>
      <c r="HPQ341" s="98"/>
      <c r="HPR341" s="85"/>
      <c r="HPS341" s="82"/>
      <c r="HPT341" s="82"/>
      <c r="HPU341" s="86"/>
      <c r="HPV341" s="82"/>
      <c r="HPW341" s="82"/>
      <c r="HPX341" s="82"/>
      <c r="HPY341" s="82"/>
      <c r="HPZ341" s="83"/>
      <c r="HQA341" s="98"/>
      <c r="HQB341" s="85"/>
      <c r="HQC341" s="82"/>
      <c r="HQD341" s="82"/>
      <c r="HQE341" s="86"/>
      <c r="HQF341" s="82"/>
      <c r="HQG341" s="82"/>
      <c r="HQH341" s="82"/>
      <c r="HQI341" s="82"/>
      <c r="HQJ341" s="83"/>
      <c r="HQK341" s="98"/>
      <c r="HQL341" s="85"/>
      <c r="HQM341" s="82"/>
      <c r="HQN341" s="82"/>
      <c r="HQO341" s="86"/>
      <c r="HQP341" s="82"/>
      <c r="HQQ341" s="82"/>
      <c r="HQR341" s="82"/>
      <c r="HQS341" s="82"/>
      <c r="HQT341" s="83"/>
      <c r="HQU341" s="98"/>
      <c r="HQV341" s="85"/>
      <c r="HQW341" s="82"/>
      <c r="HQX341" s="82"/>
      <c r="HQY341" s="86"/>
      <c r="HQZ341" s="82"/>
      <c r="HRA341" s="82"/>
      <c r="HRB341" s="82"/>
      <c r="HRC341" s="82"/>
      <c r="HRD341" s="83"/>
      <c r="HRE341" s="98"/>
      <c r="HRF341" s="85"/>
      <c r="HRG341" s="82"/>
      <c r="HRH341" s="82"/>
      <c r="HRI341" s="86"/>
      <c r="HRJ341" s="82"/>
      <c r="HRK341" s="82"/>
      <c r="HRL341" s="82"/>
      <c r="HRM341" s="82"/>
      <c r="HRN341" s="83"/>
      <c r="HRO341" s="98"/>
      <c r="HRP341" s="85"/>
      <c r="HRQ341" s="82"/>
      <c r="HRR341" s="82"/>
      <c r="HRS341" s="86"/>
      <c r="HRT341" s="82"/>
      <c r="HRU341" s="82"/>
      <c r="HRV341" s="82"/>
      <c r="HRW341" s="82"/>
      <c r="HRX341" s="83"/>
      <c r="HRY341" s="98"/>
      <c r="HRZ341" s="85"/>
      <c r="HSA341" s="82"/>
      <c r="HSB341" s="82"/>
      <c r="HSC341" s="86"/>
      <c r="HSD341" s="82"/>
      <c r="HSE341" s="82"/>
      <c r="HSF341" s="82"/>
      <c r="HSG341" s="82"/>
      <c r="HSH341" s="83"/>
      <c r="HSI341" s="98"/>
      <c r="HSJ341" s="85"/>
      <c r="HSK341" s="82"/>
      <c r="HSL341" s="82"/>
      <c r="HSM341" s="86"/>
      <c r="HSN341" s="82"/>
      <c r="HSO341" s="82"/>
      <c r="HSP341" s="82"/>
      <c r="HSQ341" s="82"/>
      <c r="HSR341" s="83"/>
      <c r="HSS341" s="98"/>
      <c r="HST341" s="85"/>
      <c r="HSU341" s="82"/>
      <c r="HSV341" s="82"/>
      <c r="HSW341" s="86"/>
      <c r="HSX341" s="82"/>
      <c r="HSY341" s="82"/>
      <c r="HSZ341" s="82"/>
      <c r="HTA341" s="82"/>
      <c r="HTB341" s="83"/>
      <c r="HTC341" s="98"/>
      <c r="HTD341" s="85"/>
      <c r="HTE341" s="82"/>
      <c r="HTF341" s="82"/>
      <c r="HTG341" s="86"/>
      <c r="HTH341" s="82"/>
      <c r="HTI341" s="82"/>
      <c r="HTJ341" s="82"/>
      <c r="HTK341" s="82"/>
      <c r="HTL341" s="83"/>
      <c r="HTM341" s="98"/>
      <c r="HTN341" s="85"/>
      <c r="HTO341" s="82"/>
      <c r="HTP341" s="82"/>
      <c r="HTQ341" s="86"/>
      <c r="HTR341" s="82"/>
      <c r="HTS341" s="82"/>
      <c r="HTT341" s="82"/>
      <c r="HTU341" s="82"/>
      <c r="HTV341" s="83"/>
      <c r="HTW341" s="98"/>
      <c r="HTX341" s="85"/>
      <c r="HTY341" s="82"/>
      <c r="HTZ341" s="82"/>
      <c r="HUA341" s="86"/>
      <c r="HUB341" s="82"/>
      <c r="HUC341" s="82"/>
      <c r="HUD341" s="82"/>
      <c r="HUE341" s="82"/>
      <c r="HUF341" s="83"/>
      <c r="HUG341" s="98"/>
      <c r="HUH341" s="85"/>
      <c r="HUI341" s="82"/>
      <c r="HUJ341" s="82"/>
      <c r="HUK341" s="86"/>
      <c r="HUL341" s="82"/>
      <c r="HUM341" s="82"/>
      <c r="HUN341" s="82"/>
      <c r="HUO341" s="82"/>
      <c r="HUP341" s="83"/>
      <c r="HUQ341" s="98"/>
      <c r="HUR341" s="85"/>
      <c r="HUS341" s="82"/>
      <c r="HUT341" s="82"/>
      <c r="HUU341" s="86"/>
      <c r="HUV341" s="82"/>
      <c r="HUW341" s="82"/>
      <c r="HUX341" s="82"/>
      <c r="HUY341" s="82"/>
      <c r="HUZ341" s="83"/>
      <c r="HVA341" s="98"/>
      <c r="HVB341" s="85"/>
      <c r="HVC341" s="82"/>
      <c r="HVD341" s="82"/>
      <c r="HVE341" s="86"/>
      <c r="HVF341" s="82"/>
      <c r="HVG341" s="82"/>
      <c r="HVH341" s="82"/>
      <c r="HVI341" s="82"/>
      <c r="HVJ341" s="83"/>
      <c r="HVK341" s="98"/>
      <c r="HVL341" s="85"/>
      <c r="HVM341" s="82"/>
      <c r="HVN341" s="82"/>
      <c r="HVO341" s="86"/>
      <c r="HVP341" s="82"/>
      <c r="HVQ341" s="82"/>
      <c r="HVR341" s="82"/>
      <c r="HVS341" s="82"/>
      <c r="HVT341" s="83"/>
      <c r="HVU341" s="98"/>
      <c r="HVV341" s="85"/>
      <c r="HVW341" s="82"/>
      <c r="HVX341" s="82"/>
      <c r="HVY341" s="86"/>
      <c r="HVZ341" s="82"/>
      <c r="HWA341" s="82"/>
      <c r="HWB341" s="82"/>
      <c r="HWC341" s="82"/>
      <c r="HWD341" s="83"/>
      <c r="HWE341" s="98"/>
      <c r="HWF341" s="85"/>
      <c r="HWG341" s="82"/>
      <c r="HWH341" s="82"/>
      <c r="HWI341" s="86"/>
      <c r="HWJ341" s="82"/>
      <c r="HWK341" s="82"/>
      <c r="HWL341" s="82"/>
      <c r="HWM341" s="82"/>
      <c r="HWN341" s="83"/>
      <c r="HWO341" s="98"/>
      <c r="HWP341" s="85"/>
      <c r="HWQ341" s="82"/>
      <c r="HWR341" s="82"/>
      <c r="HWS341" s="86"/>
      <c r="HWT341" s="82"/>
      <c r="HWU341" s="82"/>
      <c r="HWV341" s="82"/>
      <c r="HWW341" s="82"/>
      <c r="HWX341" s="83"/>
      <c r="HWY341" s="98"/>
      <c r="HWZ341" s="85"/>
      <c r="HXA341" s="82"/>
      <c r="HXB341" s="82"/>
      <c r="HXC341" s="86"/>
      <c r="HXD341" s="82"/>
      <c r="HXE341" s="82"/>
      <c r="HXF341" s="82"/>
      <c r="HXG341" s="82"/>
      <c r="HXH341" s="83"/>
      <c r="HXI341" s="98"/>
      <c r="HXJ341" s="85"/>
      <c r="HXK341" s="82"/>
      <c r="HXL341" s="82"/>
      <c r="HXM341" s="86"/>
      <c r="HXN341" s="82"/>
      <c r="HXO341" s="82"/>
      <c r="HXP341" s="82"/>
      <c r="HXQ341" s="82"/>
      <c r="HXR341" s="83"/>
      <c r="HXS341" s="98"/>
      <c r="HXT341" s="85"/>
      <c r="HXU341" s="82"/>
      <c r="HXV341" s="82"/>
      <c r="HXW341" s="86"/>
      <c r="HXX341" s="82"/>
      <c r="HXY341" s="82"/>
      <c r="HXZ341" s="82"/>
      <c r="HYA341" s="82"/>
      <c r="HYB341" s="83"/>
      <c r="HYC341" s="98"/>
      <c r="HYD341" s="85"/>
      <c r="HYE341" s="82"/>
      <c r="HYF341" s="82"/>
      <c r="HYG341" s="86"/>
      <c r="HYH341" s="82"/>
      <c r="HYI341" s="82"/>
      <c r="HYJ341" s="82"/>
      <c r="HYK341" s="82"/>
      <c r="HYL341" s="83"/>
      <c r="HYM341" s="98"/>
      <c r="HYN341" s="85"/>
      <c r="HYO341" s="82"/>
      <c r="HYP341" s="82"/>
      <c r="HYQ341" s="86"/>
      <c r="HYR341" s="82"/>
      <c r="HYS341" s="82"/>
      <c r="HYT341" s="82"/>
      <c r="HYU341" s="82"/>
      <c r="HYV341" s="83"/>
      <c r="HYW341" s="98"/>
      <c r="HYX341" s="85"/>
      <c r="HYY341" s="82"/>
      <c r="HYZ341" s="82"/>
      <c r="HZA341" s="86"/>
      <c r="HZB341" s="82"/>
      <c r="HZC341" s="82"/>
      <c r="HZD341" s="82"/>
      <c r="HZE341" s="82"/>
      <c r="HZF341" s="83"/>
      <c r="HZG341" s="98"/>
      <c r="HZH341" s="85"/>
      <c r="HZI341" s="82"/>
      <c r="HZJ341" s="82"/>
      <c r="HZK341" s="86"/>
      <c r="HZL341" s="82"/>
      <c r="HZM341" s="82"/>
      <c r="HZN341" s="82"/>
      <c r="HZO341" s="82"/>
      <c r="HZP341" s="83"/>
      <c r="HZQ341" s="98"/>
      <c r="HZR341" s="85"/>
      <c r="HZS341" s="82"/>
      <c r="HZT341" s="82"/>
      <c r="HZU341" s="86"/>
      <c r="HZV341" s="82"/>
      <c r="HZW341" s="82"/>
      <c r="HZX341" s="82"/>
      <c r="HZY341" s="82"/>
      <c r="HZZ341" s="83"/>
      <c r="IAA341" s="98"/>
      <c r="IAB341" s="85"/>
      <c r="IAC341" s="82"/>
      <c r="IAD341" s="82"/>
      <c r="IAE341" s="86"/>
      <c r="IAF341" s="82"/>
      <c r="IAG341" s="82"/>
      <c r="IAH341" s="82"/>
      <c r="IAI341" s="82"/>
      <c r="IAJ341" s="83"/>
      <c r="IAK341" s="98"/>
      <c r="IAL341" s="85"/>
      <c r="IAM341" s="82"/>
      <c r="IAN341" s="82"/>
      <c r="IAO341" s="86"/>
      <c r="IAP341" s="82"/>
      <c r="IAQ341" s="82"/>
      <c r="IAR341" s="82"/>
      <c r="IAS341" s="82"/>
      <c r="IAT341" s="83"/>
      <c r="IAU341" s="98"/>
      <c r="IAV341" s="85"/>
      <c r="IAW341" s="82"/>
      <c r="IAX341" s="82"/>
      <c r="IAY341" s="86"/>
      <c r="IAZ341" s="82"/>
      <c r="IBA341" s="82"/>
      <c r="IBB341" s="82"/>
      <c r="IBC341" s="82"/>
      <c r="IBD341" s="83"/>
      <c r="IBE341" s="98"/>
      <c r="IBF341" s="85"/>
      <c r="IBG341" s="82"/>
      <c r="IBH341" s="82"/>
      <c r="IBI341" s="86"/>
      <c r="IBJ341" s="82"/>
      <c r="IBK341" s="82"/>
      <c r="IBL341" s="82"/>
      <c r="IBM341" s="82"/>
      <c r="IBN341" s="83"/>
      <c r="IBO341" s="98"/>
      <c r="IBP341" s="85"/>
      <c r="IBQ341" s="82"/>
      <c r="IBR341" s="82"/>
      <c r="IBS341" s="86"/>
      <c r="IBT341" s="82"/>
      <c r="IBU341" s="82"/>
      <c r="IBV341" s="82"/>
      <c r="IBW341" s="82"/>
      <c r="IBX341" s="83"/>
      <c r="IBY341" s="98"/>
      <c r="IBZ341" s="85"/>
      <c r="ICA341" s="82"/>
      <c r="ICB341" s="82"/>
      <c r="ICC341" s="86"/>
      <c r="ICD341" s="82"/>
      <c r="ICE341" s="82"/>
      <c r="ICF341" s="82"/>
      <c r="ICG341" s="82"/>
      <c r="ICH341" s="83"/>
      <c r="ICI341" s="98"/>
      <c r="ICJ341" s="85"/>
      <c r="ICK341" s="82"/>
      <c r="ICL341" s="82"/>
      <c r="ICM341" s="86"/>
      <c r="ICN341" s="82"/>
      <c r="ICO341" s="82"/>
      <c r="ICP341" s="82"/>
      <c r="ICQ341" s="82"/>
      <c r="ICR341" s="83"/>
      <c r="ICS341" s="98"/>
      <c r="ICT341" s="85"/>
      <c r="ICU341" s="82"/>
      <c r="ICV341" s="82"/>
      <c r="ICW341" s="86"/>
      <c r="ICX341" s="82"/>
      <c r="ICY341" s="82"/>
      <c r="ICZ341" s="82"/>
      <c r="IDA341" s="82"/>
      <c r="IDB341" s="83"/>
      <c r="IDC341" s="98"/>
      <c r="IDD341" s="85"/>
      <c r="IDE341" s="82"/>
      <c r="IDF341" s="82"/>
      <c r="IDG341" s="86"/>
      <c r="IDH341" s="82"/>
      <c r="IDI341" s="82"/>
      <c r="IDJ341" s="82"/>
      <c r="IDK341" s="82"/>
      <c r="IDL341" s="83"/>
      <c r="IDM341" s="98"/>
      <c r="IDN341" s="85"/>
      <c r="IDO341" s="82"/>
      <c r="IDP341" s="82"/>
      <c r="IDQ341" s="86"/>
      <c r="IDR341" s="82"/>
      <c r="IDS341" s="82"/>
      <c r="IDT341" s="82"/>
      <c r="IDU341" s="82"/>
      <c r="IDV341" s="83"/>
      <c r="IDW341" s="98"/>
      <c r="IDX341" s="85"/>
      <c r="IDY341" s="82"/>
      <c r="IDZ341" s="82"/>
      <c r="IEA341" s="86"/>
      <c r="IEB341" s="82"/>
      <c r="IEC341" s="82"/>
      <c r="IED341" s="82"/>
      <c r="IEE341" s="82"/>
      <c r="IEF341" s="83"/>
      <c r="IEG341" s="98"/>
      <c r="IEH341" s="85"/>
      <c r="IEI341" s="82"/>
      <c r="IEJ341" s="82"/>
      <c r="IEK341" s="86"/>
      <c r="IEL341" s="82"/>
      <c r="IEM341" s="82"/>
      <c r="IEN341" s="82"/>
      <c r="IEO341" s="82"/>
      <c r="IEP341" s="83"/>
      <c r="IEQ341" s="98"/>
      <c r="IER341" s="85"/>
      <c r="IES341" s="82"/>
      <c r="IET341" s="82"/>
      <c r="IEU341" s="86"/>
      <c r="IEV341" s="82"/>
      <c r="IEW341" s="82"/>
      <c r="IEX341" s="82"/>
      <c r="IEY341" s="82"/>
      <c r="IEZ341" s="83"/>
      <c r="IFA341" s="98"/>
      <c r="IFB341" s="85"/>
      <c r="IFC341" s="82"/>
      <c r="IFD341" s="82"/>
      <c r="IFE341" s="86"/>
      <c r="IFF341" s="82"/>
      <c r="IFG341" s="82"/>
      <c r="IFH341" s="82"/>
      <c r="IFI341" s="82"/>
      <c r="IFJ341" s="83"/>
      <c r="IFK341" s="98"/>
      <c r="IFL341" s="85"/>
      <c r="IFM341" s="82"/>
      <c r="IFN341" s="82"/>
      <c r="IFO341" s="86"/>
      <c r="IFP341" s="82"/>
      <c r="IFQ341" s="82"/>
      <c r="IFR341" s="82"/>
      <c r="IFS341" s="82"/>
      <c r="IFT341" s="83"/>
      <c r="IFU341" s="98"/>
      <c r="IFV341" s="85"/>
      <c r="IFW341" s="82"/>
      <c r="IFX341" s="82"/>
      <c r="IFY341" s="86"/>
      <c r="IFZ341" s="82"/>
      <c r="IGA341" s="82"/>
      <c r="IGB341" s="82"/>
      <c r="IGC341" s="82"/>
      <c r="IGD341" s="83"/>
      <c r="IGE341" s="98"/>
      <c r="IGF341" s="85"/>
      <c r="IGG341" s="82"/>
      <c r="IGH341" s="82"/>
      <c r="IGI341" s="86"/>
      <c r="IGJ341" s="82"/>
      <c r="IGK341" s="82"/>
      <c r="IGL341" s="82"/>
      <c r="IGM341" s="82"/>
      <c r="IGN341" s="83"/>
      <c r="IGO341" s="98"/>
      <c r="IGP341" s="85"/>
      <c r="IGQ341" s="82"/>
      <c r="IGR341" s="82"/>
      <c r="IGS341" s="86"/>
      <c r="IGT341" s="82"/>
      <c r="IGU341" s="82"/>
      <c r="IGV341" s="82"/>
      <c r="IGW341" s="82"/>
      <c r="IGX341" s="83"/>
      <c r="IGY341" s="98"/>
      <c r="IGZ341" s="85"/>
      <c r="IHA341" s="82"/>
      <c r="IHB341" s="82"/>
      <c r="IHC341" s="86"/>
      <c r="IHD341" s="82"/>
      <c r="IHE341" s="82"/>
      <c r="IHF341" s="82"/>
      <c r="IHG341" s="82"/>
      <c r="IHH341" s="83"/>
      <c r="IHI341" s="98"/>
      <c r="IHJ341" s="85"/>
      <c r="IHK341" s="82"/>
      <c r="IHL341" s="82"/>
      <c r="IHM341" s="86"/>
      <c r="IHN341" s="82"/>
      <c r="IHO341" s="82"/>
      <c r="IHP341" s="82"/>
      <c r="IHQ341" s="82"/>
      <c r="IHR341" s="83"/>
      <c r="IHS341" s="98"/>
      <c r="IHT341" s="85"/>
      <c r="IHU341" s="82"/>
      <c r="IHV341" s="82"/>
      <c r="IHW341" s="86"/>
      <c r="IHX341" s="82"/>
      <c r="IHY341" s="82"/>
      <c r="IHZ341" s="82"/>
      <c r="IIA341" s="82"/>
      <c r="IIB341" s="83"/>
      <c r="IIC341" s="98"/>
      <c r="IID341" s="85"/>
      <c r="IIE341" s="82"/>
      <c r="IIF341" s="82"/>
      <c r="IIG341" s="86"/>
      <c r="IIH341" s="82"/>
      <c r="III341" s="82"/>
      <c r="IIJ341" s="82"/>
      <c r="IIK341" s="82"/>
      <c r="IIL341" s="83"/>
      <c r="IIM341" s="98"/>
      <c r="IIN341" s="85"/>
      <c r="IIO341" s="82"/>
      <c r="IIP341" s="82"/>
      <c r="IIQ341" s="86"/>
      <c r="IIR341" s="82"/>
      <c r="IIS341" s="82"/>
      <c r="IIT341" s="82"/>
      <c r="IIU341" s="82"/>
      <c r="IIV341" s="83"/>
      <c r="IIW341" s="98"/>
      <c r="IIX341" s="85"/>
      <c r="IIY341" s="82"/>
      <c r="IIZ341" s="82"/>
      <c r="IJA341" s="86"/>
      <c r="IJB341" s="82"/>
      <c r="IJC341" s="82"/>
      <c r="IJD341" s="82"/>
      <c r="IJE341" s="82"/>
      <c r="IJF341" s="83"/>
      <c r="IJG341" s="98"/>
      <c r="IJH341" s="85"/>
      <c r="IJI341" s="82"/>
      <c r="IJJ341" s="82"/>
      <c r="IJK341" s="86"/>
      <c r="IJL341" s="82"/>
      <c r="IJM341" s="82"/>
      <c r="IJN341" s="82"/>
      <c r="IJO341" s="82"/>
      <c r="IJP341" s="83"/>
      <c r="IJQ341" s="98"/>
      <c r="IJR341" s="85"/>
      <c r="IJS341" s="82"/>
      <c r="IJT341" s="82"/>
      <c r="IJU341" s="86"/>
      <c r="IJV341" s="82"/>
      <c r="IJW341" s="82"/>
      <c r="IJX341" s="82"/>
      <c r="IJY341" s="82"/>
      <c r="IJZ341" s="83"/>
      <c r="IKA341" s="98"/>
      <c r="IKB341" s="85"/>
      <c r="IKC341" s="82"/>
      <c r="IKD341" s="82"/>
      <c r="IKE341" s="86"/>
      <c r="IKF341" s="82"/>
      <c r="IKG341" s="82"/>
      <c r="IKH341" s="82"/>
      <c r="IKI341" s="82"/>
      <c r="IKJ341" s="83"/>
      <c r="IKK341" s="98"/>
      <c r="IKL341" s="85"/>
      <c r="IKM341" s="82"/>
      <c r="IKN341" s="82"/>
      <c r="IKO341" s="86"/>
      <c r="IKP341" s="82"/>
      <c r="IKQ341" s="82"/>
      <c r="IKR341" s="82"/>
      <c r="IKS341" s="82"/>
      <c r="IKT341" s="83"/>
      <c r="IKU341" s="98"/>
      <c r="IKV341" s="85"/>
      <c r="IKW341" s="82"/>
      <c r="IKX341" s="82"/>
      <c r="IKY341" s="86"/>
      <c r="IKZ341" s="82"/>
      <c r="ILA341" s="82"/>
      <c r="ILB341" s="82"/>
      <c r="ILC341" s="82"/>
      <c r="ILD341" s="83"/>
      <c r="ILE341" s="98"/>
      <c r="ILF341" s="85"/>
      <c r="ILG341" s="82"/>
      <c r="ILH341" s="82"/>
      <c r="ILI341" s="86"/>
      <c r="ILJ341" s="82"/>
      <c r="ILK341" s="82"/>
      <c r="ILL341" s="82"/>
      <c r="ILM341" s="82"/>
      <c r="ILN341" s="83"/>
      <c r="ILO341" s="98"/>
      <c r="ILP341" s="85"/>
      <c r="ILQ341" s="82"/>
      <c r="ILR341" s="82"/>
      <c r="ILS341" s="86"/>
      <c r="ILT341" s="82"/>
      <c r="ILU341" s="82"/>
      <c r="ILV341" s="82"/>
      <c r="ILW341" s="82"/>
      <c r="ILX341" s="83"/>
      <c r="ILY341" s="98"/>
      <c r="ILZ341" s="85"/>
      <c r="IMA341" s="82"/>
      <c r="IMB341" s="82"/>
      <c r="IMC341" s="86"/>
      <c r="IMD341" s="82"/>
      <c r="IME341" s="82"/>
      <c r="IMF341" s="82"/>
      <c r="IMG341" s="82"/>
      <c r="IMH341" s="83"/>
      <c r="IMI341" s="98"/>
      <c r="IMJ341" s="85"/>
      <c r="IMK341" s="82"/>
      <c r="IML341" s="82"/>
      <c r="IMM341" s="86"/>
      <c r="IMN341" s="82"/>
      <c r="IMO341" s="82"/>
      <c r="IMP341" s="82"/>
      <c r="IMQ341" s="82"/>
      <c r="IMR341" s="83"/>
      <c r="IMS341" s="98"/>
      <c r="IMT341" s="85"/>
      <c r="IMU341" s="82"/>
      <c r="IMV341" s="82"/>
      <c r="IMW341" s="86"/>
      <c r="IMX341" s="82"/>
      <c r="IMY341" s="82"/>
      <c r="IMZ341" s="82"/>
      <c r="INA341" s="82"/>
      <c r="INB341" s="83"/>
      <c r="INC341" s="98"/>
      <c r="IND341" s="85"/>
      <c r="INE341" s="82"/>
      <c r="INF341" s="82"/>
      <c r="ING341" s="86"/>
      <c r="INH341" s="82"/>
      <c r="INI341" s="82"/>
      <c r="INJ341" s="82"/>
      <c r="INK341" s="82"/>
      <c r="INL341" s="83"/>
      <c r="INM341" s="98"/>
      <c r="INN341" s="85"/>
      <c r="INO341" s="82"/>
      <c r="INP341" s="82"/>
      <c r="INQ341" s="86"/>
      <c r="INR341" s="82"/>
      <c r="INS341" s="82"/>
      <c r="INT341" s="82"/>
      <c r="INU341" s="82"/>
      <c r="INV341" s="83"/>
      <c r="INW341" s="98"/>
      <c r="INX341" s="85"/>
      <c r="INY341" s="82"/>
      <c r="INZ341" s="82"/>
      <c r="IOA341" s="86"/>
      <c r="IOB341" s="82"/>
      <c r="IOC341" s="82"/>
      <c r="IOD341" s="82"/>
      <c r="IOE341" s="82"/>
      <c r="IOF341" s="83"/>
      <c r="IOG341" s="98"/>
      <c r="IOH341" s="85"/>
      <c r="IOI341" s="82"/>
      <c r="IOJ341" s="82"/>
      <c r="IOK341" s="86"/>
      <c r="IOL341" s="82"/>
      <c r="IOM341" s="82"/>
      <c r="ION341" s="82"/>
      <c r="IOO341" s="82"/>
      <c r="IOP341" s="83"/>
      <c r="IOQ341" s="98"/>
      <c r="IOR341" s="85"/>
      <c r="IOS341" s="82"/>
      <c r="IOT341" s="82"/>
      <c r="IOU341" s="86"/>
      <c r="IOV341" s="82"/>
      <c r="IOW341" s="82"/>
      <c r="IOX341" s="82"/>
      <c r="IOY341" s="82"/>
      <c r="IOZ341" s="83"/>
      <c r="IPA341" s="98"/>
      <c r="IPB341" s="85"/>
      <c r="IPC341" s="82"/>
      <c r="IPD341" s="82"/>
      <c r="IPE341" s="86"/>
      <c r="IPF341" s="82"/>
      <c r="IPG341" s="82"/>
      <c r="IPH341" s="82"/>
      <c r="IPI341" s="82"/>
      <c r="IPJ341" s="83"/>
      <c r="IPK341" s="98"/>
      <c r="IPL341" s="85"/>
      <c r="IPM341" s="82"/>
      <c r="IPN341" s="82"/>
      <c r="IPO341" s="86"/>
      <c r="IPP341" s="82"/>
      <c r="IPQ341" s="82"/>
      <c r="IPR341" s="82"/>
      <c r="IPS341" s="82"/>
      <c r="IPT341" s="83"/>
      <c r="IPU341" s="98"/>
      <c r="IPV341" s="85"/>
      <c r="IPW341" s="82"/>
      <c r="IPX341" s="82"/>
      <c r="IPY341" s="86"/>
      <c r="IPZ341" s="82"/>
      <c r="IQA341" s="82"/>
      <c r="IQB341" s="82"/>
      <c r="IQC341" s="82"/>
      <c r="IQD341" s="83"/>
      <c r="IQE341" s="98"/>
      <c r="IQF341" s="85"/>
      <c r="IQG341" s="82"/>
      <c r="IQH341" s="82"/>
      <c r="IQI341" s="86"/>
      <c r="IQJ341" s="82"/>
      <c r="IQK341" s="82"/>
      <c r="IQL341" s="82"/>
      <c r="IQM341" s="82"/>
      <c r="IQN341" s="83"/>
      <c r="IQO341" s="98"/>
      <c r="IQP341" s="85"/>
      <c r="IQQ341" s="82"/>
      <c r="IQR341" s="82"/>
      <c r="IQS341" s="86"/>
      <c r="IQT341" s="82"/>
      <c r="IQU341" s="82"/>
      <c r="IQV341" s="82"/>
      <c r="IQW341" s="82"/>
      <c r="IQX341" s="83"/>
      <c r="IQY341" s="98"/>
      <c r="IQZ341" s="85"/>
      <c r="IRA341" s="82"/>
      <c r="IRB341" s="82"/>
      <c r="IRC341" s="86"/>
      <c r="IRD341" s="82"/>
      <c r="IRE341" s="82"/>
      <c r="IRF341" s="82"/>
      <c r="IRG341" s="82"/>
      <c r="IRH341" s="83"/>
      <c r="IRI341" s="98"/>
      <c r="IRJ341" s="85"/>
      <c r="IRK341" s="82"/>
      <c r="IRL341" s="82"/>
      <c r="IRM341" s="86"/>
      <c r="IRN341" s="82"/>
      <c r="IRO341" s="82"/>
      <c r="IRP341" s="82"/>
      <c r="IRQ341" s="82"/>
      <c r="IRR341" s="83"/>
      <c r="IRS341" s="98"/>
      <c r="IRT341" s="85"/>
      <c r="IRU341" s="82"/>
      <c r="IRV341" s="82"/>
      <c r="IRW341" s="86"/>
      <c r="IRX341" s="82"/>
      <c r="IRY341" s="82"/>
      <c r="IRZ341" s="82"/>
      <c r="ISA341" s="82"/>
      <c r="ISB341" s="83"/>
      <c r="ISC341" s="98"/>
      <c r="ISD341" s="85"/>
      <c r="ISE341" s="82"/>
      <c r="ISF341" s="82"/>
      <c r="ISG341" s="86"/>
      <c r="ISH341" s="82"/>
      <c r="ISI341" s="82"/>
      <c r="ISJ341" s="82"/>
      <c r="ISK341" s="82"/>
      <c r="ISL341" s="83"/>
      <c r="ISM341" s="98"/>
      <c r="ISN341" s="85"/>
      <c r="ISO341" s="82"/>
      <c r="ISP341" s="82"/>
      <c r="ISQ341" s="86"/>
      <c r="ISR341" s="82"/>
      <c r="ISS341" s="82"/>
      <c r="IST341" s="82"/>
      <c r="ISU341" s="82"/>
      <c r="ISV341" s="83"/>
      <c r="ISW341" s="98"/>
      <c r="ISX341" s="85"/>
      <c r="ISY341" s="82"/>
      <c r="ISZ341" s="82"/>
      <c r="ITA341" s="86"/>
      <c r="ITB341" s="82"/>
      <c r="ITC341" s="82"/>
      <c r="ITD341" s="82"/>
      <c r="ITE341" s="82"/>
      <c r="ITF341" s="83"/>
      <c r="ITG341" s="98"/>
      <c r="ITH341" s="85"/>
      <c r="ITI341" s="82"/>
      <c r="ITJ341" s="82"/>
      <c r="ITK341" s="86"/>
      <c r="ITL341" s="82"/>
      <c r="ITM341" s="82"/>
      <c r="ITN341" s="82"/>
      <c r="ITO341" s="82"/>
      <c r="ITP341" s="83"/>
      <c r="ITQ341" s="98"/>
      <c r="ITR341" s="85"/>
      <c r="ITS341" s="82"/>
      <c r="ITT341" s="82"/>
      <c r="ITU341" s="86"/>
      <c r="ITV341" s="82"/>
      <c r="ITW341" s="82"/>
      <c r="ITX341" s="82"/>
      <c r="ITY341" s="82"/>
      <c r="ITZ341" s="83"/>
      <c r="IUA341" s="98"/>
      <c r="IUB341" s="85"/>
      <c r="IUC341" s="82"/>
      <c r="IUD341" s="82"/>
      <c r="IUE341" s="86"/>
      <c r="IUF341" s="82"/>
      <c r="IUG341" s="82"/>
      <c r="IUH341" s="82"/>
      <c r="IUI341" s="82"/>
      <c r="IUJ341" s="83"/>
      <c r="IUK341" s="98"/>
      <c r="IUL341" s="85"/>
      <c r="IUM341" s="82"/>
      <c r="IUN341" s="82"/>
      <c r="IUO341" s="86"/>
      <c r="IUP341" s="82"/>
      <c r="IUQ341" s="82"/>
      <c r="IUR341" s="82"/>
      <c r="IUS341" s="82"/>
      <c r="IUT341" s="83"/>
      <c r="IUU341" s="98"/>
      <c r="IUV341" s="85"/>
      <c r="IUW341" s="82"/>
      <c r="IUX341" s="82"/>
      <c r="IUY341" s="86"/>
      <c r="IUZ341" s="82"/>
      <c r="IVA341" s="82"/>
      <c r="IVB341" s="82"/>
      <c r="IVC341" s="82"/>
      <c r="IVD341" s="83"/>
      <c r="IVE341" s="98"/>
      <c r="IVF341" s="85"/>
      <c r="IVG341" s="82"/>
      <c r="IVH341" s="82"/>
      <c r="IVI341" s="86"/>
      <c r="IVJ341" s="82"/>
      <c r="IVK341" s="82"/>
      <c r="IVL341" s="82"/>
      <c r="IVM341" s="82"/>
      <c r="IVN341" s="83"/>
      <c r="IVO341" s="98"/>
      <c r="IVP341" s="85"/>
      <c r="IVQ341" s="82"/>
      <c r="IVR341" s="82"/>
      <c r="IVS341" s="86"/>
      <c r="IVT341" s="82"/>
      <c r="IVU341" s="82"/>
      <c r="IVV341" s="82"/>
      <c r="IVW341" s="82"/>
      <c r="IVX341" s="83"/>
      <c r="IVY341" s="98"/>
      <c r="IVZ341" s="85"/>
      <c r="IWA341" s="82"/>
      <c r="IWB341" s="82"/>
      <c r="IWC341" s="86"/>
      <c r="IWD341" s="82"/>
      <c r="IWE341" s="82"/>
      <c r="IWF341" s="82"/>
      <c r="IWG341" s="82"/>
      <c r="IWH341" s="83"/>
      <c r="IWI341" s="98"/>
      <c r="IWJ341" s="85"/>
      <c r="IWK341" s="82"/>
      <c r="IWL341" s="82"/>
      <c r="IWM341" s="86"/>
      <c r="IWN341" s="82"/>
      <c r="IWO341" s="82"/>
      <c r="IWP341" s="82"/>
      <c r="IWQ341" s="82"/>
      <c r="IWR341" s="83"/>
      <c r="IWS341" s="98"/>
      <c r="IWT341" s="85"/>
      <c r="IWU341" s="82"/>
      <c r="IWV341" s="82"/>
      <c r="IWW341" s="86"/>
      <c r="IWX341" s="82"/>
      <c r="IWY341" s="82"/>
      <c r="IWZ341" s="82"/>
      <c r="IXA341" s="82"/>
      <c r="IXB341" s="83"/>
      <c r="IXC341" s="98"/>
      <c r="IXD341" s="85"/>
      <c r="IXE341" s="82"/>
      <c r="IXF341" s="82"/>
      <c r="IXG341" s="86"/>
      <c r="IXH341" s="82"/>
      <c r="IXI341" s="82"/>
      <c r="IXJ341" s="82"/>
      <c r="IXK341" s="82"/>
      <c r="IXL341" s="83"/>
      <c r="IXM341" s="98"/>
      <c r="IXN341" s="85"/>
      <c r="IXO341" s="82"/>
      <c r="IXP341" s="82"/>
      <c r="IXQ341" s="86"/>
      <c r="IXR341" s="82"/>
      <c r="IXS341" s="82"/>
      <c r="IXT341" s="82"/>
      <c r="IXU341" s="82"/>
      <c r="IXV341" s="83"/>
      <c r="IXW341" s="98"/>
      <c r="IXX341" s="85"/>
      <c r="IXY341" s="82"/>
      <c r="IXZ341" s="82"/>
      <c r="IYA341" s="86"/>
      <c r="IYB341" s="82"/>
      <c r="IYC341" s="82"/>
      <c r="IYD341" s="82"/>
      <c r="IYE341" s="82"/>
      <c r="IYF341" s="83"/>
      <c r="IYG341" s="98"/>
      <c r="IYH341" s="85"/>
      <c r="IYI341" s="82"/>
      <c r="IYJ341" s="82"/>
      <c r="IYK341" s="86"/>
      <c r="IYL341" s="82"/>
      <c r="IYM341" s="82"/>
      <c r="IYN341" s="82"/>
      <c r="IYO341" s="82"/>
      <c r="IYP341" s="83"/>
      <c r="IYQ341" s="98"/>
      <c r="IYR341" s="85"/>
      <c r="IYS341" s="82"/>
      <c r="IYT341" s="82"/>
      <c r="IYU341" s="86"/>
      <c r="IYV341" s="82"/>
      <c r="IYW341" s="82"/>
      <c r="IYX341" s="82"/>
      <c r="IYY341" s="82"/>
      <c r="IYZ341" s="83"/>
      <c r="IZA341" s="98"/>
      <c r="IZB341" s="85"/>
      <c r="IZC341" s="82"/>
      <c r="IZD341" s="82"/>
      <c r="IZE341" s="86"/>
      <c r="IZF341" s="82"/>
      <c r="IZG341" s="82"/>
      <c r="IZH341" s="82"/>
      <c r="IZI341" s="82"/>
      <c r="IZJ341" s="83"/>
      <c r="IZK341" s="98"/>
      <c r="IZL341" s="85"/>
      <c r="IZM341" s="82"/>
      <c r="IZN341" s="82"/>
      <c r="IZO341" s="86"/>
      <c r="IZP341" s="82"/>
      <c r="IZQ341" s="82"/>
      <c r="IZR341" s="82"/>
      <c r="IZS341" s="82"/>
      <c r="IZT341" s="83"/>
      <c r="IZU341" s="98"/>
      <c r="IZV341" s="85"/>
      <c r="IZW341" s="82"/>
      <c r="IZX341" s="82"/>
      <c r="IZY341" s="86"/>
      <c r="IZZ341" s="82"/>
      <c r="JAA341" s="82"/>
      <c r="JAB341" s="82"/>
      <c r="JAC341" s="82"/>
      <c r="JAD341" s="83"/>
      <c r="JAE341" s="98"/>
      <c r="JAF341" s="85"/>
      <c r="JAG341" s="82"/>
      <c r="JAH341" s="82"/>
      <c r="JAI341" s="86"/>
      <c r="JAJ341" s="82"/>
      <c r="JAK341" s="82"/>
      <c r="JAL341" s="82"/>
      <c r="JAM341" s="82"/>
      <c r="JAN341" s="83"/>
      <c r="JAO341" s="98"/>
      <c r="JAP341" s="85"/>
      <c r="JAQ341" s="82"/>
      <c r="JAR341" s="82"/>
      <c r="JAS341" s="86"/>
      <c r="JAT341" s="82"/>
      <c r="JAU341" s="82"/>
      <c r="JAV341" s="82"/>
      <c r="JAW341" s="82"/>
      <c r="JAX341" s="83"/>
      <c r="JAY341" s="98"/>
      <c r="JAZ341" s="85"/>
      <c r="JBA341" s="82"/>
      <c r="JBB341" s="82"/>
      <c r="JBC341" s="86"/>
      <c r="JBD341" s="82"/>
      <c r="JBE341" s="82"/>
      <c r="JBF341" s="82"/>
      <c r="JBG341" s="82"/>
      <c r="JBH341" s="83"/>
      <c r="JBI341" s="98"/>
      <c r="JBJ341" s="85"/>
      <c r="JBK341" s="82"/>
      <c r="JBL341" s="82"/>
      <c r="JBM341" s="86"/>
      <c r="JBN341" s="82"/>
      <c r="JBO341" s="82"/>
      <c r="JBP341" s="82"/>
      <c r="JBQ341" s="82"/>
      <c r="JBR341" s="83"/>
      <c r="JBS341" s="98"/>
      <c r="JBT341" s="85"/>
      <c r="JBU341" s="82"/>
      <c r="JBV341" s="82"/>
      <c r="JBW341" s="86"/>
      <c r="JBX341" s="82"/>
      <c r="JBY341" s="82"/>
      <c r="JBZ341" s="82"/>
      <c r="JCA341" s="82"/>
      <c r="JCB341" s="83"/>
      <c r="JCC341" s="98"/>
      <c r="JCD341" s="85"/>
      <c r="JCE341" s="82"/>
      <c r="JCF341" s="82"/>
      <c r="JCG341" s="86"/>
      <c r="JCH341" s="82"/>
      <c r="JCI341" s="82"/>
      <c r="JCJ341" s="82"/>
      <c r="JCK341" s="82"/>
      <c r="JCL341" s="83"/>
      <c r="JCM341" s="98"/>
      <c r="JCN341" s="85"/>
      <c r="JCO341" s="82"/>
      <c r="JCP341" s="82"/>
      <c r="JCQ341" s="86"/>
      <c r="JCR341" s="82"/>
      <c r="JCS341" s="82"/>
      <c r="JCT341" s="82"/>
      <c r="JCU341" s="82"/>
      <c r="JCV341" s="83"/>
      <c r="JCW341" s="98"/>
      <c r="JCX341" s="85"/>
      <c r="JCY341" s="82"/>
      <c r="JCZ341" s="82"/>
      <c r="JDA341" s="86"/>
      <c r="JDB341" s="82"/>
      <c r="JDC341" s="82"/>
      <c r="JDD341" s="82"/>
      <c r="JDE341" s="82"/>
      <c r="JDF341" s="83"/>
      <c r="JDG341" s="98"/>
      <c r="JDH341" s="85"/>
      <c r="JDI341" s="82"/>
      <c r="JDJ341" s="82"/>
      <c r="JDK341" s="86"/>
      <c r="JDL341" s="82"/>
      <c r="JDM341" s="82"/>
      <c r="JDN341" s="82"/>
      <c r="JDO341" s="82"/>
      <c r="JDP341" s="83"/>
      <c r="JDQ341" s="98"/>
      <c r="JDR341" s="85"/>
      <c r="JDS341" s="82"/>
      <c r="JDT341" s="82"/>
      <c r="JDU341" s="86"/>
      <c r="JDV341" s="82"/>
      <c r="JDW341" s="82"/>
      <c r="JDX341" s="82"/>
      <c r="JDY341" s="82"/>
      <c r="JDZ341" s="83"/>
      <c r="JEA341" s="98"/>
      <c r="JEB341" s="85"/>
      <c r="JEC341" s="82"/>
      <c r="JED341" s="82"/>
      <c r="JEE341" s="86"/>
      <c r="JEF341" s="82"/>
      <c r="JEG341" s="82"/>
      <c r="JEH341" s="82"/>
      <c r="JEI341" s="82"/>
      <c r="JEJ341" s="83"/>
      <c r="JEK341" s="98"/>
      <c r="JEL341" s="85"/>
      <c r="JEM341" s="82"/>
      <c r="JEN341" s="82"/>
      <c r="JEO341" s="86"/>
      <c r="JEP341" s="82"/>
      <c r="JEQ341" s="82"/>
      <c r="JER341" s="82"/>
      <c r="JES341" s="82"/>
      <c r="JET341" s="83"/>
      <c r="JEU341" s="98"/>
      <c r="JEV341" s="85"/>
      <c r="JEW341" s="82"/>
      <c r="JEX341" s="82"/>
      <c r="JEY341" s="86"/>
      <c r="JEZ341" s="82"/>
      <c r="JFA341" s="82"/>
      <c r="JFB341" s="82"/>
      <c r="JFC341" s="82"/>
      <c r="JFD341" s="83"/>
      <c r="JFE341" s="98"/>
      <c r="JFF341" s="85"/>
      <c r="JFG341" s="82"/>
      <c r="JFH341" s="82"/>
      <c r="JFI341" s="86"/>
      <c r="JFJ341" s="82"/>
      <c r="JFK341" s="82"/>
      <c r="JFL341" s="82"/>
      <c r="JFM341" s="82"/>
      <c r="JFN341" s="83"/>
      <c r="JFO341" s="98"/>
      <c r="JFP341" s="85"/>
      <c r="JFQ341" s="82"/>
      <c r="JFR341" s="82"/>
      <c r="JFS341" s="86"/>
      <c r="JFT341" s="82"/>
      <c r="JFU341" s="82"/>
      <c r="JFV341" s="82"/>
      <c r="JFW341" s="82"/>
      <c r="JFX341" s="83"/>
      <c r="JFY341" s="98"/>
      <c r="JFZ341" s="85"/>
      <c r="JGA341" s="82"/>
      <c r="JGB341" s="82"/>
      <c r="JGC341" s="86"/>
      <c r="JGD341" s="82"/>
      <c r="JGE341" s="82"/>
      <c r="JGF341" s="82"/>
      <c r="JGG341" s="82"/>
      <c r="JGH341" s="83"/>
      <c r="JGI341" s="98"/>
      <c r="JGJ341" s="85"/>
      <c r="JGK341" s="82"/>
      <c r="JGL341" s="82"/>
      <c r="JGM341" s="86"/>
      <c r="JGN341" s="82"/>
      <c r="JGO341" s="82"/>
      <c r="JGP341" s="82"/>
      <c r="JGQ341" s="82"/>
      <c r="JGR341" s="83"/>
      <c r="JGS341" s="98"/>
      <c r="JGT341" s="85"/>
      <c r="JGU341" s="82"/>
      <c r="JGV341" s="82"/>
      <c r="JGW341" s="86"/>
      <c r="JGX341" s="82"/>
      <c r="JGY341" s="82"/>
      <c r="JGZ341" s="82"/>
      <c r="JHA341" s="82"/>
      <c r="JHB341" s="83"/>
      <c r="JHC341" s="98"/>
      <c r="JHD341" s="85"/>
      <c r="JHE341" s="82"/>
      <c r="JHF341" s="82"/>
      <c r="JHG341" s="86"/>
      <c r="JHH341" s="82"/>
      <c r="JHI341" s="82"/>
      <c r="JHJ341" s="82"/>
      <c r="JHK341" s="82"/>
      <c r="JHL341" s="83"/>
      <c r="JHM341" s="98"/>
      <c r="JHN341" s="85"/>
      <c r="JHO341" s="82"/>
      <c r="JHP341" s="82"/>
      <c r="JHQ341" s="86"/>
      <c r="JHR341" s="82"/>
      <c r="JHS341" s="82"/>
      <c r="JHT341" s="82"/>
      <c r="JHU341" s="82"/>
      <c r="JHV341" s="83"/>
      <c r="JHW341" s="98"/>
      <c r="JHX341" s="85"/>
      <c r="JHY341" s="82"/>
      <c r="JHZ341" s="82"/>
      <c r="JIA341" s="86"/>
      <c r="JIB341" s="82"/>
      <c r="JIC341" s="82"/>
      <c r="JID341" s="82"/>
      <c r="JIE341" s="82"/>
      <c r="JIF341" s="83"/>
      <c r="JIG341" s="98"/>
      <c r="JIH341" s="85"/>
      <c r="JII341" s="82"/>
      <c r="JIJ341" s="82"/>
      <c r="JIK341" s="86"/>
      <c r="JIL341" s="82"/>
      <c r="JIM341" s="82"/>
      <c r="JIN341" s="82"/>
      <c r="JIO341" s="82"/>
      <c r="JIP341" s="83"/>
      <c r="JIQ341" s="98"/>
      <c r="JIR341" s="85"/>
      <c r="JIS341" s="82"/>
      <c r="JIT341" s="82"/>
      <c r="JIU341" s="86"/>
      <c r="JIV341" s="82"/>
      <c r="JIW341" s="82"/>
      <c r="JIX341" s="82"/>
      <c r="JIY341" s="82"/>
      <c r="JIZ341" s="83"/>
      <c r="JJA341" s="98"/>
      <c r="JJB341" s="85"/>
      <c r="JJC341" s="82"/>
      <c r="JJD341" s="82"/>
      <c r="JJE341" s="86"/>
      <c r="JJF341" s="82"/>
      <c r="JJG341" s="82"/>
      <c r="JJH341" s="82"/>
      <c r="JJI341" s="82"/>
      <c r="JJJ341" s="83"/>
      <c r="JJK341" s="98"/>
      <c r="JJL341" s="85"/>
      <c r="JJM341" s="82"/>
      <c r="JJN341" s="82"/>
      <c r="JJO341" s="86"/>
      <c r="JJP341" s="82"/>
      <c r="JJQ341" s="82"/>
      <c r="JJR341" s="82"/>
      <c r="JJS341" s="82"/>
      <c r="JJT341" s="83"/>
      <c r="JJU341" s="98"/>
      <c r="JJV341" s="85"/>
      <c r="JJW341" s="82"/>
      <c r="JJX341" s="82"/>
      <c r="JJY341" s="86"/>
      <c r="JJZ341" s="82"/>
      <c r="JKA341" s="82"/>
      <c r="JKB341" s="82"/>
      <c r="JKC341" s="82"/>
      <c r="JKD341" s="83"/>
      <c r="JKE341" s="98"/>
      <c r="JKF341" s="85"/>
      <c r="JKG341" s="82"/>
      <c r="JKH341" s="82"/>
      <c r="JKI341" s="86"/>
      <c r="JKJ341" s="82"/>
      <c r="JKK341" s="82"/>
      <c r="JKL341" s="82"/>
      <c r="JKM341" s="82"/>
      <c r="JKN341" s="83"/>
      <c r="JKO341" s="98"/>
      <c r="JKP341" s="85"/>
      <c r="JKQ341" s="82"/>
      <c r="JKR341" s="82"/>
      <c r="JKS341" s="86"/>
      <c r="JKT341" s="82"/>
      <c r="JKU341" s="82"/>
      <c r="JKV341" s="82"/>
      <c r="JKW341" s="82"/>
      <c r="JKX341" s="83"/>
      <c r="JKY341" s="98"/>
      <c r="JKZ341" s="85"/>
      <c r="JLA341" s="82"/>
      <c r="JLB341" s="82"/>
      <c r="JLC341" s="86"/>
      <c r="JLD341" s="82"/>
      <c r="JLE341" s="82"/>
      <c r="JLF341" s="82"/>
      <c r="JLG341" s="82"/>
      <c r="JLH341" s="83"/>
      <c r="JLI341" s="98"/>
      <c r="JLJ341" s="85"/>
      <c r="JLK341" s="82"/>
      <c r="JLL341" s="82"/>
      <c r="JLM341" s="86"/>
      <c r="JLN341" s="82"/>
      <c r="JLO341" s="82"/>
      <c r="JLP341" s="82"/>
      <c r="JLQ341" s="82"/>
      <c r="JLR341" s="83"/>
      <c r="JLS341" s="98"/>
      <c r="JLT341" s="85"/>
      <c r="JLU341" s="82"/>
      <c r="JLV341" s="82"/>
      <c r="JLW341" s="86"/>
      <c r="JLX341" s="82"/>
      <c r="JLY341" s="82"/>
      <c r="JLZ341" s="82"/>
      <c r="JMA341" s="82"/>
      <c r="JMB341" s="83"/>
      <c r="JMC341" s="98"/>
      <c r="JMD341" s="85"/>
      <c r="JME341" s="82"/>
      <c r="JMF341" s="82"/>
      <c r="JMG341" s="86"/>
      <c r="JMH341" s="82"/>
      <c r="JMI341" s="82"/>
      <c r="JMJ341" s="82"/>
      <c r="JMK341" s="82"/>
      <c r="JML341" s="83"/>
      <c r="JMM341" s="98"/>
      <c r="JMN341" s="85"/>
      <c r="JMO341" s="82"/>
      <c r="JMP341" s="82"/>
      <c r="JMQ341" s="86"/>
      <c r="JMR341" s="82"/>
      <c r="JMS341" s="82"/>
      <c r="JMT341" s="82"/>
      <c r="JMU341" s="82"/>
      <c r="JMV341" s="83"/>
      <c r="JMW341" s="98"/>
      <c r="JMX341" s="85"/>
      <c r="JMY341" s="82"/>
      <c r="JMZ341" s="82"/>
      <c r="JNA341" s="86"/>
      <c r="JNB341" s="82"/>
      <c r="JNC341" s="82"/>
      <c r="JND341" s="82"/>
      <c r="JNE341" s="82"/>
      <c r="JNF341" s="83"/>
      <c r="JNG341" s="98"/>
      <c r="JNH341" s="85"/>
      <c r="JNI341" s="82"/>
      <c r="JNJ341" s="82"/>
      <c r="JNK341" s="86"/>
      <c r="JNL341" s="82"/>
      <c r="JNM341" s="82"/>
      <c r="JNN341" s="82"/>
      <c r="JNO341" s="82"/>
      <c r="JNP341" s="83"/>
      <c r="JNQ341" s="98"/>
      <c r="JNR341" s="85"/>
      <c r="JNS341" s="82"/>
      <c r="JNT341" s="82"/>
      <c r="JNU341" s="86"/>
      <c r="JNV341" s="82"/>
      <c r="JNW341" s="82"/>
      <c r="JNX341" s="82"/>
      <c r="JNY341" s="82"/>
      <c r="JNZ341" s="83"/>
      <c r="JOA341" s="98"/>
      <c r="JOB341" s="85"/>
      <c r="JOC341" s="82"/>
      <c r="JOD341" s="82"/>
      <c r="JOE341" s="86"/>
      <c r="JOF341" s="82"/>
      <c r="JOG341" s="82"/>
      <c r="JOH341" s="82"/>
      <c r="JOI341" s="82"/>
      <c r="JOJ341" s="83"/>
      <c r="JOK341" s="98"/>
      <c r="JOL341" s="85"/>
      <c r="JOM341" s="82"/>
      <c r="JON341" s="82"/>
      <c r="JOO341" s="86"/>
      <c r="JOP341" s="82"/>
      <c r="JOQ341" s="82"/>
      <c r="JOR341" s="82"/>
      <c r="JOS341" s="82"/>
      <c r="JOT341" s="83"/>
      <c r="JOU341" s="98"/>
      <c r="JOV341" s="85"/>
      <c r="JOW341" s="82"/>
      <c r="JOX341" s="82"/>
      <c r="JOY341" s="86"/>
      <c r="JOZ341" s="82"/>
      <c r="JPA341" s="82"/>
      <c r="JPB341" s="82"/>
      <c r="JPC341" s="82"/>
      <c r="JPD341" s="83"/>
      <c r="JPE341" s="98"/>
      <c r="JPF341" s="85"/>
      <c r="JPG341" s="82"/>
      <c r="JPH341" s="82"/>
      <c r="JPI341" s="86"/>
      <c r="JPJ341" s="82"/>
      <c r="JPK341" s="82"/>
      <c r="JPL341" s="82"/>
      <c r="JPM341" s="82"/>
      <c r="JPN341" s="83"/>
      <c r="JPO341" s="98"/>
      <c r="JPP341" s="85"/>
      <c r="JPQ341" s="82"/>
      <c r="JPR341" s="82"/>
      <c r="JPS341" s="86"/>
      <c r="JPT341" s="82"/>
      <c r="JPU341" s="82"/>
      <c r="JPV341" s="82"/>
      <c r="JPW341" s="82"/>
      <c r="JPX341" s="83"/>
      <c r="JPY341" s="98"/>
      <c r="JPZ341" s="85"/>
      <c r="JQA341" s="82"/>
      <c r="JQB341" s="82"/>
      <c r="JQC341" s="86"/>
      <c r="JQD341" s="82"/>
      <c r="JQE341" s="82"/>
      <c r="JQF341" s="82"/>
      <c r="JQG341" s="82"/>
      <c r="JQH341" s="83"/>
      <c r="JQI341" s="98"/>
      <c r="JQJ341" s="85"/>
      <c r="JQK341" s="82"/>
      <c r="JQL341" s="82"/>
      <c r="JQM341" s="86"/>
      <c r="JQN341" s="82"/>
      <c r="JQO341" s="82"/>
      <c r="JQP341" s="82"/>
      <c r="JQQ341" s="82"/>
      <c r="JQR341" s="83"/>
      <c r="JQS341" s="98"/>
      <c r="JQT341" s="85"/>
      <c r="JQU341" s="82"/>
      <c r="JQV341" s="82"/>
      <c r="JQW341" s="86"/>
      <c r="JQX341" s="82"/>
      <c r="JQY341" s="82"/>
      <c r="JQZ341" s="82"/>
      <c r="JRA341" s="82"/>
      <c r="JRB341" s="83"/>
      <c r="JRC341" s="98"/>
      <c r="JRD341" s="85"/>
      <c r="JRE341" s="82"/>
      <c r="JRF341" s="82"/>
      <c r="JRG341" s="86"/>
      <c r="JRH341" s="82"/>
      <c r="JRI341" s="82"/>
      <c r="JRJ341" s="82"/>
      <c r="JRK341" s="82"/>
      <c r="JRL341" s="83"/>
      <c r="JRM341" s="98"/>
      <c r="JRN341" s="85"/>
      <c r="JRO341" s="82"/>
      <c r="JRP341" s="82"/>
      <c r="JRQ341" s="86"/>
      <c r="JRR341" s="82"/>
      <c r="JRS341" s="82"/>
      <c r="JRT341" s="82"/>
      <c r="JRU341" s="82"/>
      <c r="JRV341" s="83"/>
      <c r="JRW341" s="98"/>
      <c r="JRX341" s="85"/>
      <c r="JRY341" s="82"/>
      <c r="JRZ341" s="82"/>
      <c r="JSA341" s="86"/>
      <c r="JSB341" s="82"/>
      <c r="JSC341" s="82"/>
      <c r="JSD341" s="82"/>
      <c r="JSE341" s="82"/>
      <c r="JSF341" s="83"/>
      <c r="JSG341" s="98"/>
      <c r="JSH341" s="85"/>
      <c r="JSI341" s="82"/>
      <c r="JSJ341" s="82"/>
      <c r="JSK341" s="86"/>
      <c r="JSL341" s="82"/>
      <c r="JSM341" s="82"/>
      <c r="JSN341" s="82"/>
      <c r="JSO341" s="82"/>
      <c r="JSP341" s="83"/>
      <c r="JSQ341" s="98"/>
      <c r="JSR341" s="85"/>
      <c r="JSS341" s="82"/>
      <c r="JST341" s="82"/>
      <c r="JSU341" s="86"/>
      <c r="JSV341" s="82"/>
      <c r="JSW341" s="82"/>
      <c r="JSX341" s="82"/>
      <c r="JSY341" s="82"/>
      <c r="JSZ341" s="83"/>
      <c r="JTA341" s="98"/>
      <c r="JTB341" s="85"/>
      <c r="JTC341" s="82"/>
      <c r="JTD341" s="82"/>
      <c r="JTE341" s="86"/>
      <c r="JTF341" s="82"/>
      <c r="JTG341" s="82"/>
      <c r="JTH341" s="82"/>
      <c r="JTI341" s="82"/>
      <c r="JTJ341" s="83"/>
      <c r="JTK341" s="98"/>
      <c r="JTL341" s="85"/>
      <c r="JTM341" s="82"/>
      <c r="JTN341" s="82"/>
      <c r="JTO341" s="86"/>
      <c r="JTP341" s="82"/>
      <c r="JTQ341" s="82"/>
      <c r="JTR341" s="82"/>
      <c r="JTS341" s="82"/>
      <c r="JTT341" s="83"/>
      <c r="JTU341" s="98"/>
      <c r="JTV341" s="85"/>
      <c r="JTW341" s="82"/>
      <c r="JTX341" s="82"/>
      <c r="JTY341" s="86"/>
      <c r="JTZ341" s="82"/>
      <c r="JUA341" s="82"/>
      <c r="JUB341" s="82"/>
      <c r="JUC341" s="82"/>
      <c r="JUD341" s="83"/>
      <c r="JUE341" s="98"/>
      <c r="JUF341" s="85"/>
      <c r="JUG341" s="82"/>
      <c r="JUH341" s="82"/>
      <c r="JUI341" s="86"/>
      <c r="JUJ341" s="82"/>
      <c r="JUK341" s="82"/>
      <c r="JUL341" s="82"/>
      <c r="JUM341" s="82"/>
      <c r="JUN341" s="83"/>
      <c r="JUO341" s="98"/>
      <c r="JUP341" s="85"/>
      <c r="JUQ341" s="82"/>
      <c r="JUR341" s="82"/>
      <c r="JUS341" s="86"/>
      <c r="JUT341" s="82"/>
      <c r="JUU341" s="82"/>
      <c r="JUV341" s="82"/>
      <c r="JUW341" s="82"/>
      <c r="JUX341" s="83"/>
      <c r="JUY341" s="98"/>
      <c r="JUZ341" s="85"/>
      <c r="JVA341" s="82"/>
      <c r="JVB341" s="82"/>
      <c r="JVC341" s="86"/>
      <c r="JVD341" s="82"/>
      <c r="JVE341" s="82"/>
      <c r="JVF341" s="82"/>
      <c r="JVG341" s="82"/>
      <c r="JVH341" s="83"/>
      <c r="JVI341" s="98"/>
      <c r="JVJ341" s="85"/>
      <c r="JVK341" s="82"/>
      <c r="JVL341" s="82"/>
      <c r="JVM341" s="86"/>
      <c r="JVN341" s="82"/>
      <c r="JVO341" s="82"/>
      <c r="JVP341" s="82"/>
      <c r="JVQ341" s="82"/>
      <c r="JVR341" s="83"/>
      <c r="JVS341" s="98"/>
      <c r="JVT341" s="85"/>
      <c r="JVU341" s="82"/>
      <c r="JVV341" s="82"/>
      <c r="JVW341" s="86"/>
      <c r="JVX341" s="82"/>
      <c r="JVY341" s="82"/>
      <c r="JVZ341" s="82"/>
      <c r="JWA341" s="82"/>
      <c r="JWB341" s="83"/>
      <c r="JWC341" s="98"/>
      <c r="JWD341" s="85"/>
      <c r="JWE341" s="82"/>
      <c r="JWF341" s="82"/>
      <c r="JWG341" s="86"/>
      <c r="JWH341" s="82"/>
      <c r="JWI341" s="82"/>
      <c r="JWJ341" s="82"/>
      <c r="JWK341" s="82"/>
      <c r="JWL341" s="83"/>
      <c r="JWM341" s="98"/>
      <c r="JWN341" s="85"/>
      <c r="JWO341" s="82"/>
      <c r="JWP341" s="82"/>
      <c r="JWQ341" s="86"/>
      <c r="JWR341" s="82"/>
      <c r="JWS341" s="82"/>
      <c r="JWT341" s="82"/>
      <c r="JWU341" s="82"/>
      <c r="JWV341" s="83"/>
      <c r="JWW341" s="98"/>
      <c r="JWX341" s="85"/>
      <c r="JWY341" s="82"/>
      <c r="JWZ341" s="82"/>
      <c r="JXA341" s="86"/>
      <c r="JXB341" s="82"/>
      <c r="JXC341" s="82"/>
      <c r="JXD341" s="82"/>
      <c r="JXE341" s="82"/>
      <c r="JXF341" s="83"/>
      <c r="JXG341" s="98"/>
      <c r="JXH341" s="85"/>
      <c r="JXI341" s="82"/>
      <c r="JXJ341" s="82"/>
      <c r="JXK341" s="86"/>
      <c r="JXL341" s="82"/>
      <c r="JXM341" s="82"/>
      <c r="JXN341" s="82"/>
      <c r="JXO341" s="82"/>
      <c r="JXP341" s="83"/>
      <c r="JXQ341" s="98"/>
      <c r="JXR341" s="85"/>
      <c r="JXS341" s="82"/>
      <c r="JXT341" s="82"/>
      <c r="JXU341" s="86"/>
      <c r="JXV341" s="82"/>
      <c r="JXW341" s="82"/>
      <c r="JXX341" s="82"/>
      <c r="JXY341" s="82"/>
      <c r="JXZ341" s="83"/>
      <c r="JYA341" s="98"/>
      <c r="JYB341" s="85"/>
      <c r="JYC341" s="82"/>
      <c r="JYD341" s="82"/>
      <c r="JYE341" s="86"/>
      <c r="JYF341" s="82"/>
      <c r="JYG341" s="82"/>
      <c r="JYH341" s="82"/>
      <c r="JYI341" s="82"/>
      <c r="JYJ341" s="83"/>
      <c r="JYK341" s="98"/>
      <c r="JYL341" s="85"/>
      <c r="JYM341" s="82"/>
      <c r="JYN341" s="82"/>
      <c r="JYO341" s="86"/>
      <c r="JYP341" s="82"/>
      <c r="JYQ341" s="82"/>
      <c r="JYR341" s="82"/>
      <c r="JYS341" s="82"/>
      <c r="JYT341" s="83"/>
      <c r="JYU341" s="98"/>
      <c r="JYV341" s="85"/>
      <c r="JYW341" s="82"/>
      <c r="JYX341" s="82"/>
      <c r="JYY341" s="86"/>
      <c r="JYZ341" s="82"/>
      <c r="JZA341" s="82"/>
      <c r="JZB341" s="82"/>
      <c r="JZC341" s="82"/>
      <c r="JZD341" s="83"/>
      <c r="JZE341" s="98"/>
      <c r="JZF341" s="85"/>
      <c r="JZG341" s="82"/>
      <c r="JZH341" s="82"/>
      <c r="JZI341" s="86"/>
      <c r="JZJ341" s="82"/>
      <c r="JZK341" s="82"/>
      <c r="JZL341" s="82"/>
      <c r="JZM341" s="82"/>
      <c r="JZN341" s="83"/>
      <c r="JZO341" s="98"/>
      <c r="JZP341" s="85"/>
      <c r="JZQ341" s="82"/>
      <c r="JZR341" s="82"/>
      <c r="JZS341" s="86"/>
      <c r="JZT341" s="82"/>
      <c r="JZU341" s="82"/>
      <c r="JZV341" s="82"/>
      <c r="JZW341" s="82"/>
      <c r="JZX341" s="83"/>
      <c r="JZY341" s="98"/>
      <c r="JZZ341" s="85"/>
      <c r="KAA341" s="82"/>
      <c r="KAB341" s="82"/>
      <c r="KAC341" s="86"/>
      <c r="KAD341" s="82"/>
      <c r="KAE341" s="82"/>
      <c r="KAF341" s="82"/>
      <c r="KAG341" s="82"/>
      <c r="KAH341" s="83"/>
      <c r="KAI341" s="98"/>
      <c r="KAJ341" s="85"/>
      <c r="KAK341" s="82"/>
      <c r="KAL341" s="82"/>
      <c r="KAM341" s="86"/>
      <c r="KAN341" s="82"/>
      <c r="KAO341" s="82"/>
      <c r="KAP341" s="82"/>
      <c r="KAQ341" s="82"/>
      <c r="KAR341" s="83"/>
      <c r="KAS341" s="98"/>
      <c r="KAT341" s="85"/>
      <c r="KAU341" s="82"/>
      <c r="KAV341" s="82"/>
      <c r="KAW341" s="86"/>
      <c r="KAX341" s="82"/>
      <c r="KAY341" s="82"/>
      <c r="KAZ341" s="82"/>
      <c r="KBA341" s="82"/>
      <c r="KBB341" s="83"/>
      <c r="KBC341" s="98"/>
      <c r="KBD341" s="85"/>
      <c r="KBE341" s="82"/>
      <c r="KBF341" s="82"/>
      <c r="KBG341" s="86"/>
      <c r="KBH341" s="82"/>
      <c r="KBI341" s="82"/>
      <c r="KBJ341" s="82"/>
      <c r="KBK341" s="82"/>
      <c r="KBL341" s="83"/>
      <c r="KBM341" s="98"/>
      <c r="KBN341" s="85"/>
      <c r="KBO341" s="82"/>
      <c r="KBP341" s="82"/>
      <c r="KBQ341" s="86"/>
      <c r="KBR341" s="82"/>
      <c r="KBS341" s="82"/>
      <c r="KBT341" s="82"/>
      <c r="KBU341" s="82"/>
      <c r="KBV341" s="83"/>
      <c r="KBW341" s="98"/>
      <c r="KBX341" s="85"/>
      <c r="KBY341" s="82"/>
      <c r="KBZ341" s="82"/>
      <c r="KCA341" s="86"/>
      <c r="KCB341" s="82"/>
      <c r="KCC341" s="82"/>
      <c r="KCD341" s="82"/>
      <c r="KCE341" s="82"/>
      <c r="KCF341" s="83"/>
      <c r="KCG341" s="98"/>
      <c r="KCH341" s="85"/>
      <c r="KCI341" s="82"/>
      <c r="KCJ341" s="82"/>
      <c r="KCK341" s="86"/>
      <c r="KCL341" s="82"/>
      <c r="KCM341" s="82"/>
      <c r="KCN341" s="82"/>
      <c r="KCO341" s="82"/>
      <c r="KCP341" s="83"/>
      <c r="KCQ341" s="98"/>
      <c r="KCR341" s="85"/>
      <c r="KCS341" s="82"/>
      <c r="KCT341" s="82"/>
      <c r="KCU341" s="86"/>
      <c r="KCV341" s="82"/>
      <c r="KCW341" s="82"/>
      <c r="KCX341" s="82"/>
      <c r="KCY341" s="82"/>
      <c r="KCZ341" s="83"/>
      <c r="KDA341" s="98"/>
      <c r="KDB341" s="85"/>
      <c r="KDC341" s="82"/>
      <c r="KDD341" s="82"/>
      <c r="KDE341" s="86"/>
      <c r="KDF341" s="82"/>
      <c r="KDG341" s="82"/>
      <c r="KDH341" s="82"/>
      <c r="KDI341" s="82"/>
      <c r="KDJ341" s="83"/>
      <c r="KDK341" s="98"/>
      <c r="KDL341" s="85"/>
      <c r="KDM341" s="82"/>
      <c r="KDN341" s="82"/>
      <c r="KDO341" s="86"/>
      <c r="KDP341" s="82"/>
      <c r="KDQ341" s="82"/>
      <c r="KDR341" s="82"/>
      <c r="KDS341" s="82"/>
      <c r="KDT341" s="83"/>
      <c r="KDU341" s="98"/>
      <c r="KDV341" s="85"/>
      <c r="KDW341" s="82"/>
      <c r="KDX341" s="82"/>
      <c r="KDY341" s="86"/>
      <c r="KDZ341" s="82"/>
      <c r="KEA341" s="82"/>
      <c r="KEB341" s="82"/>
      <c r="KEC341" s="82"/>
      <c r="KED341" s="83"/>
      <c r="KEE341" s="98"/>
      <c r="KEF341" s="85"/>
      <c r="KEG341" s="82"/>
      <c r="KEH341" s="82"/>
      <c r="KEI341" s="86"/>
      <c r="KEJ341" s="82"/>
      <c r="KEK341" s="82"/>
      <c r="KEL341" s="82"/>
      <c r="KEM341" s="82"/>
      <c r="KEN341" s="83"/>
      <c r="KEO341" s="98"/>
      <c r="KEP341" s="85"/>
      <c r="KEQ341" s="82"/>
      <c r="KER341" s="82"/>
      <c r="KES341" s="86"/>
      <c r="KET341" s="82"/>
      <c r="KEU341" s="82"/>
      <c r="KEV341" s="82"/>
      <c r="KEW341" s="82"/>
      <c r="KEX341" s="83"/>
      <c r="KEY341" s="98"/>
      <c r="KEZ341" s="85"/>
      <c r="KFA341" s="82"/>
      <c r="KFB341" s="82"/>
      <c r="KFC341" s="86"/>
      <c r="KFD341" s="82"/>
      <c r="KFE341" s="82"/>
      <c r="KFF341" s="82"/>
      <c r="KFG341" s="82"/>
      <c r="KFH341" s="83"/>
      <c r="KFI341" s="98"/>
      <c r="KFJ341" s="85"/>
      <c r="KFK341" s="82"/>
      <c r="KFL341" s="82"/>
      <c r="KFM341" s="86"/>
      <c r="KFN341" s="82"/>
      <c r="KFO341" s="82"/>
      <c r="KFP341" s="82"/>
      <c r="KFQ341" s="82"/>
      <c r="KFR341" s="83"/>
      <c r="KFS341" s="98"/>
      <c r="KFT341" s="85"/>
      <c r="KFU341" s="82"/>
      <c r="KFV341" s="82"/>
      <c r="KFW341" s="86"/>
      <c r="KFX341" s="82"/>
      <c r="KFY341" s="82"/>
      <c r="KFZ341" s="82"/>
      <c r="KGA341" s="82"/>
      <c r="KGB341" s="83"/>
      <c r="KGC341" s="98"/>
      <c r="KGD341" s="85"/>
      <c r="KGE341" s="82"/>
      <c r="KGF341" s="82"/>
      <c r="KGG341" s="86"/>
      <c r="KGH341" s="82"/>
      <c r="KGI341" s="82"/>
      <c r="KGJ341" s="82"/>
      <c r="KGK341" s="82"/>
      <c r="KGL341" s="83"/>
      <c r="KGM341" s="98"/>
      <c r="KGN341" s="85"/>
      <c r="KGO341" s="82"/>
      <c r="KGP341" s="82"/>
      <c r="KGQ341" s="86"/>
      <c r="KGR341" s="82"/>
      <c r="KGS341" s="82"/>
      <c r="KGT341" s="82"/>
      <c r="KGU341" s="82"/>
      <c r="KGV341" s="83"/>
      <c r="KGW341" s="98"/>
      <c r="KGX341" s="85"/>
      <c r="KGY341" s="82"/>
      <c r="KGZ341" s="82"/>
      <c r="KHA341" s="86"/>
      <c r="KHB341" s="82"/>
      <c r="KHC341" s="82"/>
      <c r="KHD341" s="82"/>
      <c r="KHE341" s="82"/>
      <c r="KHF341" s="83"/>
      <c r="KHG341" s="98"/>
      <c r="KHH341" s="85"/>
      <c r="KHI341" s="82"/>
      <c r="KHJ341" s="82"/>
      <c r="KHK341" s="86"/>
      <c r="KHL341" s="82"/>
      <c r="KHM341" s="82"/>
      <c r="KHN341" s="82"/>
      <c r="KHO341" s="82"/>
      <c r="KHP341" s="83"/>
      <c r="KHQ341" s="98"/>
      <c r="KHR341" s="85"/>
      <c r="KHS341" s="82"/>
      <c r="KHT341" s="82"/>
      <c r="KHU341" s="86"/>
      <c r="KHV341" s="82"/>
      <c r="KHW341" s="82"/>
      <c r="KHX341" s="82"/>
      <c r="KHY341" s="82"/>
      <c r="KHZ341" s="83"/>
      <c r="KIA341" s="98"/>
      <c r="KIB341" s="85"/>
      <c r="KIC341" s="82"/>
      <c r="KID341" s="82"/>
      <c r="KIE341" s="86"/>
      <c r="KIF341" s="82"/>
      <c r="KIG341" s="82"/>
      <c r="KIH341" s="82"/>
      <c r="KII341" s="82"/>
      <c r="KIJ341" s="83"/>
      <c r="KIK341" s="98"/>
      <c r="KIL341" s="85"/>
      <c r="KIM341" s="82"/>
      <c r="KIN341" s="82"/>
      <c r="KIO341" s="86"/>
      <c r="KIP341" s="82"/>
      <c r="KIQ341" s="82"/>
      <c r="KIR341" s="82"/>
      <c r="KIS341" s="82"/>
      <c r="KIT341" s="83"/>
      <c r="KIU341" s="98"/>
      <c r="KIV341" s="85"/>
      <c r="KIW341" s="82"/>
      <c r="KIX341" s="82"/>
      <c r="KIY341" s="86"/>
      <c r="KIZ341" s="82"/>
      <c r="KJA341" s="82"/>
      <c r="KJB341" s="82"/>
      <c r="KJC341" s="82"/>
      <c r="KJD341" s="83"/>
      <c r="KJE341" s="98"/>
      <c r="KJF341" s="85"/>
      <c r="KJG341" s="82"/>
      <c r="KJH341" s="82"/>
      <c r="KJI341" s="86"/>
      <c r="KJJ341" s="82"/>
      <c r="KJK341" s="82"/>
      <c r="KJL341" s="82"/>
      <c r="KJM341" s="82"/>
      <c r="KJN341" s="83"/>
      <c r="KJO341" s="98"/>
      <c r="KJP341" s="85"/>
      <c r="KJQ341" s="82"/>
      <c r="KJR341" s="82"/>
      <c r="KJS341" s="86"/>
      <c r="KJT341" s="82"/>
      <c r="KJU341" s="82"/>
      <c r="KJV341" s="82"/>
      <c r="KJW341" s="82"/>
      <c r="KJX341" s="83"/>
      <c r="KJY341" s="98"/>
      <c r="KJZ341" s="85"/>
      <c r="KKA341" s="82"/>
      <c r="KKB341" s="82"/>
      <c r="KKC341" s="86"/>
      <c r="KKD341" s="82"/>
      <c r="KKE341" s="82"/>
      <c r="KKF341" s="82"/>
      <c r="KKG341" s="82"/>
      <c r="KKH341" s="83"/>
      <c r="KKI341" s="98"/>
      <c r="KKJ341" s="85"/>
      <c r="KKK341" s="82"/>
      <c r="KKL341" s="82"/>
      <c r="KKM341" s="86"/>
      <c r="KKN341" s="82"/>
      <c r="KKO341" s="82"/>
      <c r="KKP341" s="82"/>
      <c r="KKQ341" s="82"/>
      <c r="KKR341" s="83"/>
      <c r="KKS341" s="98"/>
      <c r="KKT341" s="85"/>
      <c r="KKU341" s="82"/>
      <c r="KKV341" s="82"/>
      <c r="KKW341" s="86"/>
      <c r="KKX341" s="82"/>
      <c r="KKY341" s="82"/>
      <c r="KKZ341" s="82"/>
      <c r="KLA341" s="82"/>
      <c r="KLB341" s="83"/>
      <c r="KLC341" s="98"/>
      <c r="KLD341" s="85"/>
      <c r="KLE341" s="82"/>
      <c r="KLF341" s="82"/>
      <c r="KLG341" s="86"/>
      <c r="KLH341" s="82"/>
      <c r="KLI341" s="82"/>
      <c r="KLJ341" s="82"/>
      <c r="KLK341" s="82"/>
      <c r="KLL341" s="83"/>
      <c r="KLM341" s="98"/>
      <c r="KLN341" s="85"/>
      <c r="KLO341" s="82"/>
      <c r="KLP341" s="82"/>
      <c r="KLQ341" s="86"/>
      <c r="KLR341" s="82"/>
      <c r="KLS341" s="82"/>
      <c r="KLT341" s="82"/>
      <c r="KLU341" s="82"/>
      <c r="KLV341" s="83"/>
      <c r="KLW341" s="98"/>
      <c r="KLX341" s="85"/>
      <c r="KLY341" s="82"/>
      <c r="KLZ341" s="82"/>
      <c r="KMA341" s="86"/>
      <c r="KMB341" s="82"/>
      <c r="KMC341" s="82"/>
      <c r="KMD341" s="82"/>
      <c r="KME341" s="82"/>
      <c r="KMF341" s="83"/>
      <c r="KMG341" s="98"/>
      <c r="KMH341" s="85"/>
      <c r="KMI341" s="82"/>
      <c r="KMJ341" s="82"/>
      <c r="KMK341" s="86"/>
      <c r="KML341" s="82"/>
      <c r="KMM341" s="82"/>
      <c r="KMN341" s="82"/>
      <c r="KMO341" s="82"/>
      <c r="KMP341" s="83"/>
      <c r="KMQ341" s="98"/>
      <c r="KMR341" s="85"/>
      <c r="KMS341" s="82"/>
      <c r="KMT341" s="82"/>
      <c r="KMU341" s="86"/>
      <c r="KMV341" s="82"/>
      <c r="KMW341" s="82"/>
      <c r="KMX341" s="82"/>
      <c r="KMY341" s="82"/>
      <c r="KMZ341" s="83"/>
      <c r="KNA341" s="98"/>
      <c r="KNB341" s="85"/>
      <c r="KNC341" s="82"/>
      <c r="KND341" s="82"/>
      <c r="KNE341" s="86"/>
      <c r="KNF341" s="82"/>
      <c r="KNG341" s="82"/>
      <c r="KNH341" s="82"/>
      <c r="KNI341" s="82"/>
      <c r="KNJ341" s="83"/>
      <c r="KNK341" s="98"/>
      <c r="KNL341" s="85"/>
      <c r="KNM341" s="82"/>
      <c r="KNN341" s="82"/>
      <c r="KNO341" s="86"/>
      <c r="KNP341" s="82"/>
      <c r="KNQ341" s="82"/>
      <c r="KNR341" s="82"/>
      <c r="KNS341" s="82"/>
      <c r="KNT341" s="83"/>
      <c r="KNU341" s="98"/>
      <c r="KNV341" s="85"/>
      <c r="KNW341" s="82"/>
      <c r="KNX341" s="82"/>
      <c r="KNY341" s="86"/>
      <c r="KNZ341" s="82"/>
      <c r="KOA341" s="82"/>
      <c r="KOB341" s="82"/>
      <c r="KOC341" s="82"/>
      <c r="KOD341" s="83"/>
      <c r="KOE341" s="98"/>
      <c r="KOF341" s="85"/>
      <c r="KOG341" s="82"/>
      <c r="KOH341" s="82"/>
      <c r="KOI341" s="86"/>
      <c r="KOJ341" s="82"/>
      <c r="KOK341" s="82"/>
      <c r="KOL341" s="82"/>
      <c r="KOM341" s="82"/>
      <c r="KON341" s="83"/>
      <c r="KOO341" s="98"/>
      <c r="KOP341" s="85"/>
      <c r="KOQ341" s="82"/>
      <c r="KOR341" s="82"/>
      <c r="KOS341" s="86"/>
      <c r="KOT341" s="82"/>
      <c r="KOU341" s="82"/>
      <c r="KOV341" s="82"/>
      <c r="KOW341" s="82"/>
      <c r="KOX341" s="83"/>
      <c r="KOY341" s="98"/>
      <c r="KOZ341" s="85"/>
      <c r="KPA341" s="82"/>
      <c r="KPB341" s="82"/>
      <c r="KPC341" s="86"/>
      <c r="KPD341" s="82"/>
      <c r="KPE341" s="82"/>
      <c r="KPF341" s="82"/>
      <c r="KPG341" s="82"/>
      <c r="KPH341" s="83"/>
      <c r="KPI341" s="98"/>
      <c r="KPJ341" s="85"/>
      <c r="KPK341" s="82"/>
      <c r="KPL341" s="82"/>
      <c r="KPM341" s="86"/>
      <c r="KPN341" s="82"/>
      <c r="KPO341" s="82"/>
      <c r="KPP341" s="82"/>
      <c r="KPQ341" s="82"/>
      <c r="KPR341" s="83"/>
      <c r="KPS341" s="98"/>
      <c r="KPT341" s="85"/>
      <c r="KPU341" s="82"/>
      <c r="KPV341" s="82"/>
      <c r="KPW341" s="86"/>
      <c r="KPX341" s="82"/>
      <c r="KPY341" s="82"/>
      <c r="KPZ341" s="82"/>
      <c r="KQA341" s="82"/>
      <c r="KQB341" s="83"/>
      <c r="KQC341" s="98"/>
      <c r="KQD341" s="85"/>
      <c r="KQE341" s="82"/>
      <c r="KQF341" s="82"/>
      <c r="KQG341" s="86"/>
      <c r="KQH341" s="82"/>
      <c r="KQI341" s="82"/>
      <c r="KQJ341" s="82"/>
      <c r="KQK341" s="82"/>
      <c r="KQL341" s="83"/>
      <c r="KQM341" s="98"/>
      <c r="KQN341" s="85"/>
      <c r="KQO341" s="82"/>
      <c r="KQP341" s="82"/>
      <c r="KQQ341" s="86"/>
      <c r="KQR341" s="82"/>
      <c r="KQS341" s="82"/>
      <c r="KQT341" s="82"/>
      <c r="KQU341" s="82"/>
      <c r="KQV341" s="83"/>
      <c r="KQW341" s="98"/>
      <c r="KQX341" s="85"/>
      <c r="KQY341" s="82"/>
      <c r="KQZ341" s="82"/>
      <c r="KRA341" s="86"/>
      <c r="KRB341" s="82"/>
      <c r="KRC341" s="82"/>
      <c r="KRD341" s="82"/>
      <c r="KRE341" s="82"/>
      <c r="KRF341" s="83"/>
      <c r="KRG341" s="98"/>
      <c r="KRH341" s="85"/>
      <c r="KRI341" s="82"/>
      <c r="KRJ341" s="82"/>
      <c r="KRK341" s="86"/>
      <c r="KRL341" s="82"/>
      <c r="KRM341" s="82"/>
      <c r="KRN341" s="82"/>
      <c r="KRO341" s="82"/>
      <c r="KRP341" s="83"/>
      <c r="KRQ341" s="98"/>
      <c r="KRR341" s="85"/>
      <c r="KRS341" s="82"/>
      <c r="KRT341" s="82"/>
      <c r="KRU341" s="86"/>
      <c r="KRV341" s="82"/>
      <c r="KRW341" s="82"/>
      <c r="KRX341" s="82"/>
      <c r="KRY341" s="82"/>
      <c r="KRZ341" s="83"/>
      <c r="KSA341" s="98"/>
      <c r="KSB341" s="85"/>
      <c r="KSC341" s="82"/>
      <c r="KSD341" s="82"/>
      <c r="KSE341" s="86"/>
      <c r="KSF341" s="82"/>
      <c r="KSG341" s="82"/>
      <c r="KSH341" s="82"/>
      <c r="KSI341" s="82"/>
      <c r="KSJ341" s="83"/>
      <c r="KSK341" s="98"/>
      <c r="KSL341" s="85"/>
      <c r="KSM341" s="82"/>
      <c r="KSN341" s="82"/>
      <c r="KSO341" s="86"/>
      <c r="KSP341" s="82"/>
      <c r="KSQ341" s="82"/>
      <c r="KSR341" s="82"/>
      <c r="KSS341" s="82"/>
      <c r="KST341" s="83"/>
      <c r="KSU341" s="98"/>
      <c r="KSV341" s="85"/>
      <c r="KSW341" s="82"/>
      <c r="KSX341" s="82"/>
      <c r="KSY341" s="86"/>
      <c r="KSZ341" s="82"/>
      <c r="KTA341" s="82"/>
      <c r="KTB341" s="82"/>
      <c r="KTC341" s="82"/>
      <c r="KTD341" s="83"/>
      <c r="KTE341" s="98"/>
      <c r="KTF341" s="85"/>
      <c r="KTG341" s="82"/>
      <c r="KTH341" s="82"/>
      <c r="KTI341" s="86"/>
      <c r="KTJ341" s="82"/>
      <c r="KTK341" s="82"/>
      <c r="KTL341" s="82"/>
      <c r="KTM341" s="82"/>
      <c r="KTN341" s="83"/>
      <c r="KTO341" s="98"/>
      <c r="KTP341" s="85"/>
      <c r="KTQ341" s="82"/>
      <c r="KTR341" s="82"/>
      <c r="KTS341" s="86"/>
      <c r="KTT341" s="82"/>
      <c r="KTU341" s="82"/>
      <c r="KTV341" s="82"/>
      <c r="KTW341" s="82"/>
      <c r="KTX341" s="83"/>
      <c r="KTY341" s="98"/>
      <c r="KTZ341" s="85"/>
      <c r="KUA341" s="82"/>
      <c r="KUB341" s="82"/>
      <c r="KUC341" s="86"/>
      <c r="KUD341" s="82"/>
      <c r="KUE341" s="82"/>
      <c r="KUF341" s="82"/>
      <c r="KUG341" s="82"/>
      <c r="KUH341" s="83"/>
      <c r="KUI341" s="98"/>
      <c r="KUJ341" s="85"/>
      <c r="KUK341" s="82"/>
      <c r="KUL341" s="82"/>
      <c r="KUM341" s="86"/>
      <c r="KUN341" s="82"/>
      <c r="KUO341" s="82"/>
      <c r="KUP341" s="82"/>
      <c r="KUQ341" s="82"/>
      <c r="KUR341" s="83"/>
      <c r="KUS341" s="98"/>
      <c r="KUT341" s="85"/>
      <c r="KUU341" s="82"/>
      <c r="KUV341" s="82"/>
      <c r="KUW341" s="86"/>
      <c r="KUX341" s="82"/>
      <c r="KUY341" s="82"/>
      <c r="KUZ341" s="82"/>
      <c r="KVA341" s="82"/>
      <c r="KVB341" s="83"/>
      <c r="KVC341" s="98"/>
      <c r="KVD341" s="85"/>
      <c r="KVE341" s="82"/>
      <c r="KVF341" s="82"/>
      <c r="KVG341" s="86"/>
      <c r="KVH341" s="82"/>
      <c r="KVI341" s="82"/>
      <c r="KVJ341" s="82"/>
      <c r="KVK341" s="82"/>
      <c r="KVL341" s="83"/>
      <c r="KVM341" s="98"/>
      <c r="KVN341" s="85"/>
      <c r="KVO341" s="82"/>
      <c r="KVP341" s="82"/>
      <c r="KVQ341" s="86"/>
      <c r="KVR341" s="82"/>
      <c r="KVS341" s="82"/>
      <c r="KVT341" s="82"/>
      <c r="KVU341" s="82"/>
      <c r="KVV341" s="83"/>
      <c r="KVW341" s="98"/>
      <c r="KVX341" s="85"/>
      <c r="KVY341" s="82"/>
      <c r="KVZ341" s="82"/>
      <c r="KWA341" s="86"/>
      <c r="KWB341" s="82"/>
      <c r="KWC341" s="82"/>
      <c r="KWD341" s="82"/>
      <c r="KWE341" s="82"/>
      <c r="KWF341" s="83"/>
      <c r="KWG341" s="98"/>
      <c r="KWH341" s="85"/>
      <c r="KWI341" s="82"/>
      <c r="KWJ341" s="82"/>
      <c r="KWK341" s="86"/>
      <c r="KWL341" s="82"/>
      <c r="KWM341" s="82"/>
      <c r="KWN341" s="82"/>
      <c r="KWO341" s="82"/>
      <c r="KWP341" s="83"/>
      <c r="KWQ341" s="98"/>
      <c r="KWR341" s="85"/>
      <c r="KWS341" s="82"/>
      <c r="KWT341" s="82"/>
      <c r="KWU341" s="86"/>
      <c r="KWV341" s="82"/>
      <c r="KWW341" s="82"/>
      <c r="KWX341" s="82"/>
      <c r="KWY341" s="82"/>
      <c r="KWZ341" s="83"/>
      <c r="KXA341" s="98"/>
      <c r="KXB341" s="85"/>
      <c r="KXC341" s="82"/>
      <c r="KXD341" s="82"/>
      <c r="KXE341" s="86"/>
      <c r="KXF341" s="82"/>
      <c r="KXG341" s="82"/>
      <c r="KXH341" s="82"/>
      <c r="KXI341" s="82"/>
      <c r="KXJ341" s="83"/>
      <c r="KXK341" s="98"/>
      <c r="KXL341" s="85"/>
      <c r="KXM341" s="82"/>
      <c r="KXN341" s="82"/>
      <c r="KXO341" s="86"/>
      <c r="KXP341" s="82"/>
      <c r="KXQ341" s="82"/>
      <c r="KXR341" s="82"/>
      <c r="KXS341" s="82"/>
      <c r="KXT341" s="83"/>
      <c r="KXU341" s="98"/>
      <c r="KXV341" s="85"/>
      <c r="KXW341" s="82"/>
      <c r="KXX341" s="82"/>
      <c r="KXY341" s="86"/>
      <c r="KXZ341" s="82"/>
      <c r="KYA341" s="82"/>
      <c r="KYB341" s="82"/>
      <c r="KYC341" s="82"/>
      <c r="KYD341" s="83"/>
      <c r="KYE341" s="98"/>
      <c r="KYF341" s="85"/>
      <c r="KYG341" s="82"/>
      <c r="KYH341" s="82"/>
      <c r="KYI341" s="86"/>
      <c r="KYJ341" s="82"/>
      <c r="KYK341" s="82"/>
      <c r="KYL341" s="82"/>
      <c r="KYM341" s="82"/>
      <c r="KYN341" s="83"/>
      <c r="KYO341" s="98"/>
      <c r="KYP341" s="85"/>
      <c r="KYQ341" s="82"/>
      <c r="KYR341" s="82"/>
      <c r="KYS341" s="86"/>
      <c r="KYT341" s="82"/>
      <c r="KYU341" s="82"/>
      <c r="KYV341" s="82"/>
      <c r="KYW341" s="82"/>
      <c r="KYX341" s="83"/>
      <c r="KYY341" s="98"/>
      <c r="KYZ341" s="85"/>
      <c r="KZA341" s="82"/>
      <c r="KZB341" s="82"/>
      <c r="KZC341" s="86"/>
      <c r="KZD341" s="82"/>
      <c r="KZE341" s="82"/>
      <c r="KZF341" s="82"/>
      <c r="KZG341" s="82"/>
      <c r="KZH341" s="83"/>
      <c r="KZI341" s="98"/>
      <c r="KZJ341" s="85"/>
      <c r="KZK341" s="82"/>
      <c r="KZL341" s="82"/>
      <c r="KZM341" s="86"/>
      <c r="KZN341" s="82"/>
      <c r="KZO341" s="82"/>
      <c r="KZP341" s="82"/>
      <c r="KZQ341" s="82"/>
      <c r="KZR341" s="83"/>
      <c r="KZS341" s="98"/>
      <c r="KZT341" s="85"/>
      <c r="KZU341" s="82"/>
      <c r="KZV341" s="82"/>
      <c r="KZW341" s="86"/>
      <c r="KZX341" s="82"/>
      <c r="KZY341" s="82"/>
      <c r="KZZ341" s="82"/>
      <c r="LAA341" s="82"/>
      <c r="LAB341" s="83"/>
      <c r="LAC341" s="98"/>
      <c r="LAD341" s="85"/>
      <c r="LAE341" s="82"/>
      <c r="LAF341" s="82"/>
      <c r="LAG341" s="86"/>
      <c r="LAH341" s="82"/>
      <c r="LAI341" s="82"/>
      <c r="LAJ341" s="82"/>
      <c r="LAK341" s="82"/>
      <c r="LAL341" s="83"/>
      <c r="LAM341" s="98"/>
      <c r="LAN341" s="85"/>
      <c r="LAO341" s="82"/>
      <c r="LAP341" s="82"/>
      <c r="LAQ341" s="86"/>
      <c r="LAR341" s="82"/>
      <c r="LAS341" s="82"/>
      <c r="LAT341" s="82"/>
      <c r="LAU341" s="82"/>
      <c r="LAV341" s="83"/>
      <c r="LAW341" s="98"/>
      <c r="LAX341" s="85"/>
      <c r="LAY341" s="82"/>
      <c r="LAZ341" s="82"/>
      <c r="LBA341" s="86"/>
      <c r="LBB341" s="82"/>
      <c r="LBC341" s="82"/>
      <c r="LBD341" s="82"/>
      <c r="LBE341" s="82"/>
      <c r="LBF341" s="83"/>
      <c r="LBG341" s="98"/>
      <c r="LBH341" s="85"/>
      <c r="LBI341" s="82"/>
      <c r="LBJ341" s="82"/>
      <c r="LBK341" s="86"/>
      <c r="LBL341" s="82"/>
      <c r="LBM341" s="82"/>
      <c r="LBN341" s="82"/>
      <c r="LBO341" s="82"/>
      <c r="LBP341" s="83"/>
      <c r="LBQ341" s="98"/>
      <c r="LBR341" s="85"/>
      <c r="LBS341" s="82"/>
      <c r="LBT341" s="82"/>
      <c r="LBU341" s="86"/>
      <c r="LBV341" s="82"/>
      <c r="LBW341" s="82"/>
      <c r="LBX341" s="82"/>
      <c r="LBY341" s="82"/>
      <c r="LBZ341" s="83"/>
      <c r="LCA341" s="98"/>
      <c r="LCB341" s="85"/>
      <c r="LCC341" s="82"/>
      <c r="LCD341" s="82"/>
      <c r="LCE341" s="86"/>
      <c r="LCF341" s="82"/>
      <c r="LCG341" s="82"/>
      <c r="LCH341" s="82"/>
      <c r="LCI341" s="82"/>
      <c r="LCJ341" s="83"/>
      <c r="LCK341" s="98"/>
      <c r="LCL341" s="85"/>
      <c r="LCM341" s="82"/>
      <c r="LCN341" s="82"/>
      <c r="LCO341" s="86"/>
      <c r="LCP341" s="82"/>
      <c r="LCQ341" s="82"/>
      <c r="LCR341" s="82"/>
      <c r="LCS341" s="82"/>
      <c r="LCT341" s="83"/>
      <c r="LCU341" s="98"/>
      <c r="LCV341" s="85"/>
      <c r="LCW341" s="82"/>
      <c r="LCX341" s="82"/>
      <c r="LCY341" s="86"/>
      <c r="LCZ341" s="82"/>
      <c r="LDA341" s="82"/>
      <c r="LDB341" s="82"/>
      <c r="LDC341" s="82"/>
      <c r="LDD341" s="83"/>
      <c r="LDE341" s="98"/>
      <c r="LDF341" s="85"/>
      <c r="LDG341" s="82"/>
      <c r="LDH341" s="82"/>
      <c r="LDI341" s="86"/>
      <c r="LDJ341" s="82"/>
      <c r="LDK341" s="82"/>
      <c r="LDL341" s="82"/>
      <c r="LDM341" s="82"/>
      <c r="LDN341" s="83"/>
      <c r="LDO341" s="98"/>
      <c r="LDP341" s="85"/>
      <c r="LDQ341" s="82"/>
      <c r="LDR341" s="82"/>
      <c r="LDS341" s="86"/>
      <c r="LDT341" s="82"/>
      <c r="LDU341" s="82"/>
      <c r="LDV341" s="82"/>
      <c r="LDW341" s="82"/>
      <c r="LDX341" s="83"/>
      <c r="LDY341" s="98"/>
      <c r="LDZ341" s="85"/>
      <c r="LEA341" s="82"/>
      <c r="LEB341" s="82"/>
      <c r="LEC341" s="86"/>
      <c r="LED341" s="82"/>
      <c r="LEE341" s="82"/>
      <c r="LEF341" s="82"/>
      <c r="LEG341" s="82"/>
      <c r="LEH341" s="83"/>
      <c r="LEI341" s="98"/>
      <c r="LEJ341" s="85"/>
      <c r="LEK341" s="82"/>
      <c r="LEL341" s="82"/>
      <c r="LEM341" s="86"/>
      <c r="LEN341" s="82"/>
      <c r="LEO341" s="82"/>
      <c r="LEP341" s="82"/>
      <c r="LEQ341" s="82"/>
      <c r="LER341" s="83"/>
      <c r="LES341" s="98"/>
      <c r="LET341" s="85"/>
      <c r="LEU341" s="82"/>
      <c r="LEV341" s="82"/>
      <c r="LEW341" s="86"/>
      <c r="LEX341" s="82"/>
      <c r="LEY341" s="82"/>
      <c r="LEZ341" s="82"/>
      <c r="LFA341" s="82"/>
      <c r="LFB341" s="83"/>
      <c r="LFC341" s="98"/>
      <c r="LFD341" s="85"/>
      <c r="LFE341" s="82"/>
      <c r="LFF341" s="82"/>
      <c r="LFG341" s="86"/>
      <c r="LFH341" s="82"/>
      <c r="LFI341" s="82"/>
      <c r="LFJ341" s="82"/>
      <c r="LFK341" s="82"/>
      <c r="LFL341" s="83"/>
      <c r="LFM341" s="98"/>
      <c r="LFN341" s="85"/>
      <c r="LFO341" s="82"/>
      <c r="LFP341" s="82"/>
      <c r="LFQ341" s="86"/>
      <c r="LFR341" s="82"/>
      <c r="LFS341" s="82"/>
      <c r="LFT341" s="82"/>
      <c r="LFU341" s="82"/>
      <c r="LFV341" s="83"/>
      <c r="LFW341" s="98"/>
      <c r="LFX341" s="85"/>
      <c r="LFY341" s="82"/>
      <c r="LFZ341" s="82"/>
      <c r="LGA341" s="86"/>
      <c r="LGB341" s="82"/>
      <c r="LGC341" s="82"/>
      <c r="LGD341" s="82"/>
      <c r="LGE341" s="82"/>
      <c r="LGF341" s="83"/>
      <c r="LGG341" s="98"/>
      <c r="LGH341" s="85"/>
      <c r="LGI341" s="82"/>
      <c r="LGJ341" s="82"/>
      <c r="LGK341" s="86"/>
      <c r="LGL341" s="82"/>
      <c r="LGM341" s="82"/>
      <c r="LGN341" s="82"/>
      <c r="LGO341" s="82"/>
      <c r="LGP341" s="83"/>
      <c r="LGQ341" s="98"/>
      <c r="LGR341" s="85"/>
      <c r="LGS341" s="82"/>
      <c r="LGT341" s="82"/>
      <c r="LGU341" s="86"/>
      <c r="LGV341" s="82"/>
      <c r="LGW341" s="82"/>
      <c r="LGX341" s="82"/>
      <c r="LGY341" s="82"/>
      <c r="LGZ341" s="83"/>
      <c r="LHA341" s="98"/>
      <c r="LHB341" s="85"/>
      <c r="LHC341" s="82"/>
      <c r="LHD341" s="82"/>
      <c r="LHE341" s="86"/>
      <c r="LHF341" s="82"/>
      <c r="LHG341" s="82"/>
      <c r="LHH341" s="82"/>
      <c r="LHI341" s="82"/>
      <c r="LHJ341" s="83"/>
      <c r="LHK341" s="98"/>
      <c r="LHL341" s="85"/>
      <c r="LHM341" s="82"/>
      <c r="LHN341" s="82"/>
      <c r="LHO341" s="86"/>
      <c r="LHP341" s="82"/>
      <c r="LHQ341" s="82"/>
      <c r="LHR341" s="82"/>
      <c r="LHS341" s="82"/>
      <c r="LHT341" s="83"/>
      <c r="LHU341" s="98"/>
      <c r="LHV341" s="85"/>
      <c r="LHW341" s="82"/>
      <c r="LHX341" s="82"/>
      <c r="LHY341" s="86"/>
      <c r="LHZ341" s="82"/>
      <c r="LIA341" s="82"/>
      <c r="LIB341" s="82"/>
      <c r="LIC341" s="82"/>
      <c r="LID341" s="83"/>
      <c r="LIE341" s="98"/>
      <c r="LIF341" s="85"/>
      <c r="LIG341" s="82"/>
      <c r="LIH341" s="82"/>
      <c r="LII341" s="86"/>
      <c r="LIJ341" s="82"/>
      <c r="LIK341" s="82"/>
      <c r="LIL341" s="82"/>
      <c r="LIM341" s="82"/>
      <c r="LIN341" s="83"/>
      <c r="LIO341" s="98"/>
      <c r="LIP341" s="85"/>
      <c r="LIQ341" s="82"/>
      <c r="LIR341" s="82"/>
      <c r="LIS341" s="86"/>
      <c r="LIT341" s="82"/>
      <c r="LIU341" s="82"/>
      <c r="LIV341" s="82"/>
      <c r="LIW341" s="82"/>
      <c r="LIX341" s="83"/>
      <c r="LIY341" s="98"/>
      <c r="LIZ341" s="85"/>
      <c r="LJA341" s="82"/>
      <c r="LJB341" s="82"/>
      <c r="LJC341" s="86"/>
      <c r="LJD341" s="82"/>
      <c r="LJE341" s="82"/>
      <c r="LJF341" s="82"/>
      <c r="LJG341" s="82"/>
      <c r="LJH341" s="83"/>
      <c r="LJI341" s="98"/>
      <c r="LJJ341" s="85"/>
      <c r="LJK341" s="82"/>
      <c r="LJL341" s="82"/>
      <c r="LJM341" s="86"/>
      <c r="LJN341" s="82"/>
      <c r="LJO341" s="82"/>
      <c r="LJP341" s="82"/>
      <c r="LJQ341" s="82"/>
      <c r="LJR341" s="83"/>
      <c r="LJS341" s="98"/>
      <c r="LJT341" s="85"/>
      <c r="LJU341" s="82"/>
      <c r="LJV341" s="82"/>
      <c r="LJW341" s="86"/>
      <c r="LJX341" s="82"/>
      <c r="LJY341" s="82"/>
      <c r="LJZ341" s="82"/>
      <c r="LKA341" s="82"/>
      <c r="LKB341" s="83"/>
      <c r="LKC341" s="98"/>
      <c r="LKD341" s="85"/>
      <c r="LKE341" s="82"/>
      <c r="LKF341" s="82"/>
      <c r="LKG341" s="86"/>
      <c r="LKH341" s="82"/>
      <c r="LKI341" s="82"/>
      <c r="LKJ341" s="82"/>
      <c r="LKK341" s="82"/>
      <c r="LKL341" s="83"/>
      <c r="LKM341" s="98"/>
      <c r="LKN341" s="85"/>
      <c r="LKO341" s="82"/>
      <c r="LKP341" s="82"/>
      <c r="LKQ341" s="86"/>
      <c r="LKR341" s="82"/>
      <c r="LKS341" s="82"/>
      <c r="LKT341" s="82"/>
      <c r="LKU341" s="82"/>
      <c r="LKV341" s="83"/>
      <c r="LKW341" s="98"/>
      <c r="LKX341" s="85"/>
      <c r="LKY341" s="82"/>
      <c r="LKZ341" s="82"/>
      <c r="LLA341" s="86"/>
      <c r="LLB341" s="82"/>
      <c r="LLC341" s="82"/>
      <c r="LLD341" s="82"/>
      <c r="LLE341" s="82"/>
      <c r="LLF341" s="83"/>
      <c r="LLG341" s="98"/>
      <c r="LLH341" s="85"/>
      <c r="LLI341" s="82"/>
      <c r="LLJ341" s="82"/>
      <c r="LLK341" s="86"/>
      <c r="LLL341" s="82"/>
      <c r="LLM341" s="82"/>
      <c r="LLN341" s="82"/>
      <c r="LLO341" s="82"/>
      <c r="LLP341" s="83"/>
      <c r="LLQ341" s="98"/>
      <c r="LLR341" s="85"/>
      <c r="LLS341" s="82"/>
      <c r="LLT341" s="82"/>
      <c r="LLU341" s="86"/>
      <c r="LLV341" s="82"/>
      <c r="LLW341" s="82"/>
      <c r="LLX341" s="82"/>
      <c r="LLY341" s="82"/>
      <c r="LLZ341" s="83"/>
      <c r="LMA341" s="98"/>
      <c r="LMB341" s="85"/>
      <c r="LMC341" s="82"/>
      <c r="LMD341" s="82"/>
      <c r="LME341" s="86"/>
      <c r="LMF341" s="82"/>
      <c r="LMG341" s="82"/>
      <c r="LMH341" s="82"/>
      <c r="LMI341" s="82"/>
      <c r="LMJ341" s="83"/>
      <c r="LMK341" s="98"/>
      <c r="LML341" s="85"/>
      <c r="LMM341" s="82"/>
      <c r="LMN341" s="82"/>
      <c r="LMO341" s="86"/>
      <c r="LMP341" s="82"/>
      <c r="LMQ341" s="82"/>
      <c r="LMR341" s="82"/>
      <c r="LMS341" s="82"/>
      <c r="LMT341" s="83"/>
      <c r="LMU341" s="98"/>
      <c r="LMV341" s="85"/>
      <c r="LMW341" s="82"/>
      <c r="LMX341" s="82"/>
      <c r="LMY341" s="86"/>
      <c r="LMZ341" s="82"/>
      <c r="LNA341" s="82"/>
      <c r="LNB341" s="82"/>
      <c r="LNC341" s="82"/>
      <c r="LND341" s="83"/>
      <c r="LNE341" s="98"/>
      <c r="LNF341" s="85"/>
      <c r="LNG341" s="82"/>
      <c r="LNH341" s="82"/>
      <c r="LNI341" s="86"/>
      <c r="LNJ341" s="82"/>
      <c r="LNK341" s="82"/>
      <c r="LNL341" s="82"/>
      <c r="LNM341" s="82"/>
      <c r="LNN341" s="83"/>
      <c r="LNO341" s="98"/>
      <c r="LNP341" s="85"/>
      <c r="LNQ341" s="82"/>
      <c r="LNR341" s="82"/>
      <c r="LNS341" s="86"/>
      <c r="LNT341" s="82"/>
      <c r="LNU341" s="82"/>
      <c r="LNV341" s="82"/>
      <c r="LNW341" s="82"/>
      <c r="LNX341" s="83"/>
      <c r="LNY341" s="98"/>
      <c r="LNZ341" s="85"/>
      <c r="LOA341" s="82"/>
      <c r="LOB341" s="82"/>
      <c r="LOC341" s="86"/>
      <c r="LOD341" s="82"/>
      <c r="LOE341" s="82"/>
      <c r="LOF341" s="82"/>
      <c r="LOG341" s="82"/>
      <c r="LOH341" s="83"/>
      <c r="LOI341" s="98"/>
      <c r="LOJ341" s="85"/>
      <c r="LOK341" s="82"/>
      <c r="LOL341" s="82"/>
      <c r="LOM341" s="86"/>
      <c r="LON341" s="82"/>
      <c r="LOO341" s="82"/>
      <c r="LOP341" s="82"/>
      <c r="LOQ341" s="82"/>
      <c r="LOR341" s="83"/>
      <c r="LOS341" s="98"/>
      <c r="LOT341" s="85"/>
      <c r="LOU341" s="82"/>
      <c r="LOV341" s="82"/>
      <c r="LOW341" s="86"/>
      <c r="LOX341" s="82"/>
      <c r="LOY341" s="82"/>
      <c r="LOZ341" s="82"/>
      <c r="LPA341" s="82"/>
      <c r="LPB341" s="83"/>
      <c r="LPC341" s="98"/>
      <c r="LPD341" s="85"/>
      <c r="LPE341" s="82"/>
      <c r="LPF341" s="82"/>
      <c r="LPG341" s="86"/>
      <c r="LPH341" s="82"/>
      <c r="LPI341" s="82"/>
      <c r="LPJ341" s="82"/>
      <c r="LPK341" s="82"/>
      <c r="LPL341" s="83"/>
      <c r="LPM341" s="98"/>
      <c r="LPN341" s="85"/>
      <c r="LPO341" s="82"/>
      <c r="LPP341" s="82"/>
      <c r="LPQ341" s="86"/>
      <c r="LPR341" s="82"/>
      <c r="LPS341" s="82"/>
      <c r="LPT341" s="82"/>
      <c r="LPU341" s="82"/>
      <c r="LPV341" s="83"/>
      <c r="LPW341" s="98"/>
      <c r="LPX341" s="85"/>
      <c r="LPY341" s="82"/>
      <c r="LPZ341" s="82"/>
      <c r="LQA341" s="86"/>
      <c r="LQB341" s="82"/>
      <c r="LQC341" s="82"/>
      <c r="LQD341" s="82"/>
      <c r="LQE341" s="82"/>
      <c r="LQF341" s="83"/>
      <c r="LQG341" s="98"/>
      <c r="LQH341" s="85"/>
      <c r="LQI341" s="82"/>
      <c r="LQJ341" s="82"/>
      <c r="LQK341" s="86"/>
      <c r="LQL341" s="82"/>
      <c r="LQM341" s="82"/>
      <c r="LQN341" s="82"/>
      <c r="LQO341" s="82"/>
      <c r="LQP341" s="83"/>
      <c r="LQQ341" s="98"/>
      <c r="LQR341" s="85"/>
      <c r="LQS341" s="82"/>
      <c r="LQT341" s="82"/>
      <c r="LQU341" s="86"/>
      <c r="LQV341" s="82"/>
      <c r="LQW341" s="82"/>
      <c r="LQX341" s="82"/>
      <c r="LQY341" s="82"/>
      <c r="LQZ341" s="83"/>
      <c r="LRA341" s="98"/>
      <c r="LRB341" s="85"/>
      <c r="LRC341" s="82"/>
      <c r="LRD341" s="82"/>
      <c r="LRE341" s="86"/>
      <c r="LRF341" s="82"/>
      <c r="LRG341" s="82"/>
      <c r="LRH341" s="82"/>
      <c r="LRI341" s="82"/>
      <c r="LRJ341" s="83"/>
      <c r="LRK341" s="98"/>
      <c r="LRL341" s="85"/>
      <c r="LRM341" s="82"/>
      <c r="LRN341" s="82"/>
      <c r="LRO341" s="86"/>
      <c r="LRP341" s="82"/>
      <c r="LRQ341" s="82"/>
      <c r="LRR341" s="82"/>
      <c r="LRS341" s="82"/>
      <c r="LRT341" s="83"/>
      <c r="LRU341" s="98"/>
      <c r="LRV341" s="85"/>
      <c r="LRW341" s="82"/>
      <c r="LRX341" s="82"/>
      <c r="LRY341" s="86"/>
      <c r="LRZ341" s="82"/>
      <c r="LSA341" s="82"/>
      <c r="LSB341" s="82"/>
      <c r="LSC341" s="82"/>
      <c r="LSD341" s="83"/>
      <c r="LSE341" s="98"/>
      <c r="LSF341" s="85"/>
      <c r="LSG341" s="82"/>
      <c r="LSH341" s="82"/>
      <c r="LSI341" s="86"/>
      <c r="LSJ341" s="82"/>
      <c r="LSK341" s="82"/>
      <c r="LSL341" s="82"/>
      <c r="LSM341" s="82"/>
      <c r="LSN341" s="83"/>
      <c r="LSO341" s="98"/>
      <c r="LSP341" s="85"/>
      <c r="LSQ341" s="82"/>
      <c r="LSR341" s="82"/>
      <c r="LSS341" s="86"/>
      <c r="LST341" s="82"/>
      <c r="LSU341" s="82"/>
      <c r="LSV341" s="82"/>
      <c r="LSW341" s="82"/>
      <c r="LSX341" s="83"/>
      <c r="LSY341" s="98"/>
      <c r="LSZ341" s="85"/>
      <c r="LTA341" s="82"/>
      <c r="LTB341" s="82"/>
      <c r="LTC341" s="86"/>
      <c r="LTD341" s="82"/>
      <c r="LTE341" s="82"/>
      <c r="LTF341" s="82"/>
      <c r="LTG341" s="82"/>
      <c r="LTH341" s="83"/>
      <c r="LTI341" s="98"/>
      <c r="LTJ341" s="85"/>
      <c r="LTK341" s="82"/>
      <c r="LTL341" s="82"/>
      <c r="LTM341" s="86"/>
      <c r="LTN341" s="82"/>
      <c r="LTO341" s="82"/>
      <c r="LTP341" s="82"/>
      <c r="LTQ341" s="82"/>
      <c r="LTR341" s="83"/>
      <c r="LTS341" s="98"/>
      <c r="LTT341" s="85"/>
      <c r="LTU341" s="82"/>
      <c r="LTV341" s="82"/>
      <c r="LTW341" s="86"/>
      <c r="LTX341" s="82"/>
      <c r="LTY341" s="82"/>
      <c r="LTZ341" s="82"/>
      <c r="LUA341" s="82"/>
      <c r="LUB341" s="83"/>
      <c r="LUC341" s="98"/>
      <c r="LUD341" s="85"/>
      <c r="LUE341" s="82"/>
      <c r="LUF341" s="82"/>
      <c r="LUG341" s="86"/>
      <c r="LUH341" s="82"/>
      <c r="LUI341" s="82"/>
      <c r="LUJ341" s="82"/>
      <c r="LUK341" s="82"/>
      <c r="LUL341" s="83"/>
      <c r="LUM341" s="98"/>
      <c r="LUN341" s="85"/>
      <c r="LUO341" s="82"/>
      <c r="LUP341" s="82"/>
      <c r="LUQ341" s="86"/>
      <c r="LUR341" s="82"/>
      <c r="LUS341" s="82"/>
      <c r="LUT341" s="82"/>
      <c r="LUU341" s="82"/>
      <c r="LUV341" s="83"/>
      <c r="LUW341" s="98"/>
      <c r="LUX341" s="85"/>
      <c r="LUY341" s="82"/>
      <c r="LUZ341" s="82"/>
      <c r="LVA341" s="86"/>
      <c r="LVB341" s="82"/>
      <c r="LVC341" s="82"/>
      <c r="LVD341" s="82"/>
      <c r="LVE341" s="82"/>
      <c r="LVF341" s="83"/>
      <c r="LVG341" s="98"/>
      <c r="LVH341" s="85"/>
      <c r="LVI341" s="82"/>
      <c r="LVJ341" s="82"/>
      <c r="LVK341" s="86"/>
      <c r="LVL341" s="82"/>
      <c r="LVM341" s="82"/>
      <c r="LVN341" s="82"/>
      <c r="LVO341" s="82"/>
      <c r="LVP341" s="83"/>
      <c r="LVQ341" s="98"/>
      <c r="LVR341" s="85"/>
      <c r="LVS341" s="82"/>
      <c r="LVT341" s="82"/>
      <c r="LVU341" s="86"/>
      <c r="LVV341" s="82"/>
      <c r="LVW341" s="82"/>
      <c r="LVX341" s="82"/>
      <c r="LVY341" s="82"/>
      <c r="LVZ341" s="83"/>
      <c r="LWA341" s="98"/>
      <c r="LWB341" s="85"/>
      <c r="LWC341" s="82"/>
      <c r="LWD341" s="82"/>
      <c r="LWE341" s="86"/>
      <c r="LWF341" s="82"/>
      <c r="LWG341" s="82"/>
      <c r="LWH341" s="82"/>
      <c r="LWI341" s="82"/>
      <c r="LWJ341" s="83"/>
      <c r="LWK341" s="98"/>
      <c r="LWL341" s="85"/>
      <c r="LWM341" s="82"/>
      <c r="LWN341" s="82"/>
      <c r="LWO341" s="86"/>
      <c r="LWP341" s="82"/>
      <c r="LWQ341" s="82"/>
      <c r="LWR341" s="82"/>
      <c r="LWS341" s="82"/>
      <c r="LWT341" s="83"/>
      <c r="LWU341" s="98"/>
      <c r="LWV341" s="85"/>
      <c r="LWW341" s="82"/>
      <c r="LWX341" s="82"/>
      <c r="LWY341" s="86"/>
      <c r="LWZ341" s="82"/>
      <c r="LXA341" s="82"/>
      <c r="LXB341" s="82"/>
      <c r="LXC341" s="82"/>
      <c r="LXD341" s="83"/>
      <c r="LXE341" s="98"/>
      <c r="LXF341" s="85"/>
      <c r="LXG341" s="82"/>
      <c r="LXH341" s="82"/>
      <c r="LXI341" s="86"/>
      <c r="LXJ341" s="82"/>
      <c r="LXK341" s="82"/>
      <c r="LXL341" s="82"/>
      <c r="LXM341" s="82"/>
      <c r="LXN341" s="83"/>
      <c r="LXO341" s="98"/>
      <c r="LXP341" s="85"/>
      <c r="LXQ341" s="82"/>
      <c r="LXR341" s="82"/>
      <c r="LXS341" s="86"/>
      <c r="LXT341" s="82"/>
      <c r="LXU341" s="82"/>
      <c r="LXV341" s="82"/>
      <c r="LXW341" s="82"/>
      <c r="LXX341" s="83"/>
      <c r="LXY341" s="98"/>
      <c r="LXZ341" s="85"/>
      <c r="LYA341" s="82"/>
      <c r="LYB341" s="82"/>
      <c r="LYC341" s="86"/>
      <c r="LYD341" s="82"/>
      <c r="LYE341" s="82"/>
      <c r="LYF341" s="82"/>
      <c r="LYG341" s="82"/>
      <c r="LYH341" s="83"/>
      <c r="LYI341" s="98"/>
      <c r="LYJ341" s="85"/>
      <c r="LYK341" s="82"/>
      <c r="LYL341" s="82"/>
      <c r="LYM341" s="86"/>
      <c r="LYN341" s="82"/>
      <c r="LYO341" s="82"/>
      <c r="LYP341" s="82"/>
      <c r="LYQ341" s="82"/>
      <c r="LYR341" s="83"/>
      <c r="LYS341" s="98"/>
      <c r="LYT341" s="85"/>
      <c r="LYU341" s="82"/>
      <c r="LYV341" s="82"/>
      <c r="LYW341" s="86"/>
      <c r="LYX341" s="82"/>
      <c r="LYY341" s="82"/>
      <c r="LYZ341" s="82"/>
      <c r="LZA341" s="82"/>
      <c r="LZB341" s="83"/>
      <c r="LZC341" s="98"/>
      <c r="LZD341" s="85"/>
      <c r="LZE341" s="82"/>
      <c r="LZF341" s="82"/>
      <c r="LZG341" s="86"/>
      <c r="LZH341" s="82"/>
      <c r="LZI341" s="82"/>
      <c r="LZJ341" s="82"/>
      <c r="LZK341" s="82"/>
      <c r="LZL341" s="83"/>
      <c r="LZM341" s="98"/>
      <c r="LZN341" s="85"/>
      <c r="LZO341" s="82"/>
      <c r="LZP341" s="82"/>
      <c r="LZQ341" s="86"/>
      <c r="LZR341" s="82"/>
      <c r="LZS341" s="82"/>
      <c r="LZT341" s="82"/>
      <c r="LZU341" s="82"/>
      <c r="LZV341" s="83"/>
      <c r="LZW341" s="98"/>
      <c r="LZX341" s="85"/>
      <c r="LZY341" s="82"/>
      <c r="LZZ341" s="82"/>
      <c r="MAA341" s="86"/>
      <c r="MAB341" s="82"/>
      <c r="MAC341" s="82"/>
      <c r="MAD341" s="82"/>
      <c r="MAE341" s="82"/>
      <c r="MAF341" s="83"/>
      <c r="MAG341" s="98"/>
      <c r="MAH341" s="85"/>
      <c r="MAI341" s="82"/>
      <c r="MAJ341" s="82"/>
      <c r="MAK341" s="86"/>
      <c r="MAL341" s="82"/>
      <c r="MAM341" s="82"/>
      <c r="MAN341" s="82"/>
      <c r="MAO341" s="82"/>
      <c r="MAP341" s="83"/>
      <c r="MAQ341" s="98"/>
      <c r="MAR341" s="85"/>
      <c r="MAS341" s="82"/>
      <c r="MAT341" s="82"/>
      <c r="MAU341" s="86"/>
      <c r="MAV341" s="82"/>
      <c r="MAW341" s="82"/>
      <c r="MAX341" s="82"/>
      <c r="MAY341" s="82"/>
      <c r="MAZ341" s="83"/>
      <c r="MBA341" s="98"/>
      <c r="MBB341" s="85"/>
      <c r="MBC341" s="82"/>
      <c r="MBD341" s="82"/>
      <c r="MBE341" s="86"/>
      <c r="MBF341" s="82"/>
      <c r="MBG341" s="82"/>
      <c r="MBH341" s="82"/>
      <c r="MBI341" s="82"/>
      <c r="MBJ341" s="83"/>
      <c r="MBK341" s="98"/>
      <c r="MBL341" s="85"/>
      <c r="MBM341" s="82"/>
      <c r="MBN341" s="82"/>
      <c r="MBO341" s="86"/>
      <c r="MBP341" s="82"/>
      <c r="MBQ341" s="82"/>
      <c r="MBR341" s="82"/>
      <c r="MBS341" s="82"/>
      <c r="MBT341" s="83"/>
      <c r="MBU341" s="98"/>
      <c r="MBV341" s="85"/>
      <c r="MBW341" s="82"/>
      <c r="MBX341" s="82"/>
      <c r="MBY341" s="86"/>
      <c r="MBZ341" s="82"/>
      <c r="MCA341" s="82"/>
      <c r="MCB341" s="82"/>
      <c r="MCC341" s="82"/>
      <c r="MCD341" s="83"/>
      <c r="MCE341" s="98"/>
      <c r="MCF341" s="85"/>
      <c r="MCG341" s="82"/>
      <c r="MCH341" s="82"/>
      <c r="MCI341" s="86"/>
      <c r="MCJ341" s="82"/>
      <c r="MCK341" s="82"/>
      <c r="MCL341" s="82"/>
      <c r="MCM341" s="82"/>
      <c r="MCN341" s="83"/>
      <c r="MCO341" s="98"/>
      <c r="MCP341" s="85"/>
      <c r="MCQ341" s="82"/>
      <c r="MCR341" s="82"/>
      <c r="MCS341" s="86"/>
      <c r="MCT341" s="82"/>
      <c r="MCU341" s="82"/>
      <c r="MCV341" s="82"/>
      <c r="MCW341" s="82"/>
      <c r="MCX341" s="83"/>
      <c r="MCY341" s="98"/>
      <c r="MCZ341" s="85"/>
      <c r="MDA341" s="82"/>
      <c r="MDB341" s="82"/>
      <c r="MDC341" s="86"/>
      <c r="MDD341" s="82"/>
      <c r="MDE341" s="82"/>
      <c r="MDF341" s="82"/>
      <c r="MDG341" s="82"/>
      <c r="MDH341" s="83"/>
      <c r="MDI341" s="98"/>
      <c r="MDJ341" s="85"/>
      <c r="MDK341" s="82"/>
      <c r="MDL341" s="82"/>
      <c r="MDM341" s="86"/>
      <c r="MDN341" s="82"/>
      <c r="MDO341" s="82"/>
      <c r="MDP341" s="82"/>
      <c r="MDQ341" s="82"/>
      <c r="MDR341" s="83"/>
      <c r="MDS341" s="98"/>
      <c r="MDT341" s="85"/>
      <c r="MDU341" s="82"/>
      <c r="MDV341" s="82"/>
      <c r="MDW341" s="86"/>
      <c r="MDX341" s="82"/>
      <c r="MDY341" s="82"/>
      <c r="MDZ341" s="82"/>
      <c r="MEA341" s="82"/>
      <c r="MEB341" s="83"/>
      <c r="MEC341" s="98"/>
      <c r="MED341" s="85"/>
      <c r="MEE341" s="82"/>
      <c r="MEF341" s="82"/>
      <c r="MEG341" s="86"/>
      <c r="MEH341" s="82"/>
      <c r="MEI341" s="82"/>
      <c r="MEJ341" s="82"/>
      <c r="MEK341" s="82"/>
      <c r="MEL341" s="83"/>
      <c r="MEM341" s="98"/>
      <c r="MEN341" s="85"/>
      <c r="MEO341" s="82"/>
      <c r="MEP341" s="82"/>
      <c r="MEQ341" s="86"/>
      <c r="MER341" s="82"/>
      <c r="MES341" s="82"/>
      <c r="MET341" s="82"/>
      <c r="MEU341" s="82"/>
      <c r="MEV341" s="83"/>
      <c r="MEW341" s="98"/>
      <c r="MEX341" s="85"/>
      <c r="MEY341" s="82"/>
      <c r="MEZ341" s="82"/>
      <c r="MFA341" s="86"/>
      <c r="MFB341" s="82"/>
      <c r="MFC341" s="82"/>
      <c r="MFD341" s="82"/>
      <c r="MFE341" s="82"/>
      <c r="MFF341" s="83"/>
      <c r="MFG341" s="98"/>
      <c r="MFH341" s="85"/>
      <c r="MFI341" s="82"/>
      <c r="MFJ341" s="82"/>
      <c r="MFK341" s="86"/>
      <c r="MFL341" s="82"/>
      <c r="MFM341" s="82"/>
      <c r="MFN341" s="82"/>
      <c r="MFO341" s="82"/>
      <c r="MFP341" s="83"/>
      <c r="MFQ341" s="98"/>
      <c r="MFR341" s="85"/>
      <c r="MFS341" s="82"/>
      <c r="MFT341" s="82"/>
      <c r="MFU341" s="86"/>
      <c r="MFV341" s="82"/>
      <c r="MFW341" s="82"/>
      <c r="MFX341" s="82"/>
      <c r="MFY341" s="82"/>
      <c r="MFZ341" s="83"/>
      <c r="MGA341" s="98"/>
      <c r="MGB341" s="85"/>
      <c r="MGC341" s="82"/>
      <c r="MGD341" s="82"/>
      <c r="MGE341" s="86"/>
      <c r="MGF341" s="82"/>
      <c r="MGG341" s="82"/>
      <c r="MGH341" s="82"/>
      <c r="MGI341" s="82"/>
      <c r="MGJ341" s="83"/>
      <c r="MGK341" s="98"/>
      <c r="MGL341" s="85"/>
      <c r="MGM341" s="82"/>
      <c r="MGN341" s="82"/>
      <c r="MGO341" s="86"/>
      <c r="MGP341" s="82"/>
      <c r="MGQ341" s="82"/>
      <c r="MGR341" s="82"/>
      <c r="MGS341" s="82"/>
      <c r="MGT341" s="83"/>
      <c r="MGU341" s="98"/>
      <c r="MGV341" s="85"/>
      <c r="MGW341" s="82"/>
      <c r="MGX341" s="82"/>
      <c r="MGY341" s="86"/>
      <c r="MGZ341" s="82"/>
      <c r="MHA341" s="82"/>
      <c r="MHB341" s="82"/>
      <c r="MHC341" s="82"/>
      <c r="MHD341" s="83"/>
      <c r="MHE341" s="98"/>
      <c r="MHF341" s="85"/>
      <c r="MHG341" s="82"/>
      <c r="MHH341" s="82"/>
      <c r="MHI341" s="86"/>
      <c r="MHJ341" s="82"/>
      <c r="MHK341" s="82"/>
      <c r="MHL341" s="82"/>
      <c r="MHM341" s="82"/>
      <c r="MHN341" s="83"/>
      <c r="MHO341" s="98"/>
      <c r="MHP341" s="85"/>
      <c r="MHQ341" s="82"/>
      <c r="MHR341" s="82"/>
      <c r="MHS341" s="86"/>
      <c r="MHT341" s="82"/>
      <c r="MHU341" s="82"/>
      <c r="MHV341" s="82"/>
      <c r="MHW341" s="82"/>
      <c r="MHX341" s="83"/>
      <c r="MHY341" s="98"/>
      <c r="MHZ341" s="85"/>
      <c r="MIA341" s="82"/>
      <c r="MIB341" s="82"/>
      <c r="MIC341" s="86"/>
      <c r="MID341" s="82"/>
      <c r="MIE341" s="82"/>
      <c r="MIF341" s="82"/>
      <c r="MIG341" s="82"/>
      <c r="MIH341" s="83"/>
      <c r="MII341" s="98"/>
      <c r="MIJ341" s="85"/>
      <c r="MIK341" s="82"/>
      <c r="MIL341" s="82"/>
      <c r="MIM341" s="86"/>
      <c r="MIN341" s="82"/>
      <c r="MIO341" s="82"/>
      <c r="MIP341" s="82"/>
      <c r="MIQ341" s="82"/>
      <c r="MIR341" s="83"/>
      <c r="MIS341" s="98"/>
      <c r="MIT341" s="85"/>
      <c r="MIU341" s="82"/>
      <c r="MIV341" s="82"/>
      <c r="MIW341" s="86"/>
      <c r="MIX341" s="82"/>
      <c r="MIY341" s="82"/>
      <c r="MIZ341" s="82"/>
      <c r="MJA341" s="82"/>
      <c r="MJB341" s="83"/>
      <c r="MJC341" s="98"/>
      <c r="MJD341" s="85"/>
      <c r="MJE341" s="82"/>
      <c r="MJF341" s="82"/>
      <c r="MJG341" s="86"/>
      <c r="MJH341" s="82"/>
      <c r="MJI341" s="82"/>
      <c r="MJJ341" s="82"/>
      <c r="MJK341" s="82"/>
      <c r="MJL341" s="83"/>
      <c r="MJM341" s="98"/>
      <c r="MJN341" s="85"/>
      <c r="MJO341" s="82"/>
      <c r="MJP341" s="82"/>
      <c r="MJQ341" s="86"/>
      <c r="MJR341" s="82"/>
      <c r="MJS341" s="82"/>
      <c r="MJT341" s="82"/>
      <c r="MJU341" s="82"/>
      <c r="MJV341" s="83"/>
      <c r="MJW341" s="98"/>
      <c r="MJX341" s="85"/>
      <c r="MJY341" s="82"/>
      <c r="MJZ341" s="82"/>
      <c r="MKA341" s="86"/>
      <c r="MKB341" s="82"/>
      <c r="MKC341" s="82"/>
      <c r="MKD341" s="82"/>
      <c r="MKE341" s="82"/>
      <c r="MKF341" s="83"/>
      <c r="MKG341" s="98"/>
      <c r="MKH341" s="85"/>
      <c r="MKI341" s="82"/>
      <c r="MKJ341" s="82"/>
      <c r="MKK341" s="86"/>
      <c r="MKL341" s="82"/>
      <c r="MKM341" s="82"/>
      <c r="MKN341" s="82"/>
      <c r="MKO341" s="82"/>
      <c r="MKP341" s="83"/>
      <c r="MKQ341" s="98"/>
      <c r="MKR341" s="85"/>
      <c r="MKS341" s="82"/>
      <c r="MKT341" s="82"/>
      <c r="MKU341" s="86"/>
      <c r="MKV341" s="82"/>
      <c r="MKW341" s="82"/>
      <c r="MKX341" s="82"/>
      <c r="MKY341" s="82"/>
      <c r="MKZ341" s="83"/>
      <c r="MLA341" s="98"/>
      <c r="MLB341" s="85"/>
      <c r="MLC341" s="82"/>
      <c r="MLD341" s="82"/>
      <c r="MLE341" s="86"/>
      <c r="MLF341" s="82"/>
      <c r="MLG341" s="82"/>
      <c r="MLH341" s="82"/>
      <c r="MLI341" s="82"/>
      <c r="MLJ341" s="83"/>
      <c r="MLK341" s="98"/>
      <c r="MLL341" s="85"/>
      <c r="MLM341" s="82"/>
      <c r="MLN341" s="82"/>
      <c r="MLO341" s="86"/>
      <c r="MLP341" s="82"/>
      <c r="MLQ341" s="82"/>
      <c r="MLR341" s="82"/>
      <c r="MLS341" s="82"/>
      <c r="MLT341" s="83"/>
      <c r="MLU341" s="98"/>
      <c r="MLV341" s="85"/>
      <c r="MLW341" s="82"/>
      <c r="MLX341" s="82"/>
      <c r="MLY341" s="86"/>
      <c r="MLZ341" s="82"/>
      <c r="MMA341" s="82"/>
      <c r="MMB341" s="82"/>
      <c r="MMC341" s="82"/>
      <c r="MMD341" s="83"/>
      <c r="MME341" s="98"/>
      <c r="MMF341" s="85"/>
      <c r="MMG341" s="82"/>
      <c r="MMH341" s="82"/>
      <c r="MMI341" s="86"/>
      <c r="MMJ341" s="82"/>
      <c r="MMK341" s="82"/>
      <c r="MML341" s="82"/>
      <c r="MMM341" s="82"/>
      <c r="MMN341" s="83"/>
      <c r="MMO341" s="98"/>
      <c r="MMP341" s="85"/>
      <c r="MMQ341" s="82"/>
      <c r="MMR341" s="82"/>
      <c r="MMS341" s="86"/>
      <c r="MMT341" s="82"/>
      <c r="MMU341" s="82"/>
      <c r="MMV341" s="82"/>
      <c r="MMW341" s="82"/>
      <c r="MMX341" s="83"/>
      <c r="MMY341" s="98"/>
      <c r="MMZ341" s="85"/>
      <c r="MNA341" s="82"/>
      <c r="MNB341" s="82"/>
      <c r="MNC341" s="86"/>
      <c r="MND341" s="82"/>
      <c r="MNE341" s="82"/>
      <c r="MNF341" s="82"/>
      <c r="MNG341" s="82"/>
      <c r="MNH341" s="83"/>
      <c r="MNI341" s="98"/>
      <c r="MNJ341" s="85"/>
      <c r="MNK341" s="82"/>
      <c r="MNL341" s="82"/>
      <c r="MNM341" s="86"/>
      <c r="MNN341" s="82"/>
      <c r="MNO341" s="82"/>
      <c r="MNP341" s="82"/>
      <c r="MNQ341" s="82"/>
      <c r="MNR341" s="83"/>
      <c r="MNS341" s="98"/>
      <c r="MNT341" s="85"/>
      <c r="MNU341" s="82"/>
      <c r="MNV341" s="82"/>
      <c r="MNW341" s="86"/>
      <c r="MNX341" s="82"/>
      <c r="MNY341" s="82"/>
      <c r="MNZ341" s="82"/>
      <c r="MOA341" s="82"/>
      <c r="MOB341" s="83"/>
      <c r="MOC341" s="98"/>
      <c r="MOD341" s="85"/>
      <c r="MOE341" s="82"/>
      <c r="MOF341" s="82"/>
      <c r="MOG341" s="86"/>
      <c r="MOH341" s="82"/>
      <c r="MOI341" s="82"/>
      <c r="MOJ341" s="82"/>
      <c r="MOK341" s="82"/>
      <c r="MOL341" s="83"/>
      <c r="MOM341" s="98"/>
      <c r="MON341" s="85"/>
      <c r="MOO341" s="82"/>
      <c r="MOP341" s="82"/>
      <c r="MOQ341" s="86"/>
      <c r="MOR341" s="82"/>
      <c r="MOS341" s="82"/>
      <c r="MOT341" s="82"/>
      <c r="MOU341" s="82"/>
      <c r="MOV341" s="83"/>
      <c r="MOW341" s="98"/>
      <c r="MOX341" s="85"/>
      <c r="MOY341" s="82"/>
      <c r="MOZ341" s="82"/>
      <c r="MPA341" s="86"/>
      <c r="MPB341" s="82"/>
      <c r="MPC341" s="82"/>
      <c r="MPD341" s="82"/>
      <c r="MPE341" s="82"/>
      <c r="MPF341" s="83"/>
      <c r="MPG341" s="98"/>
      <c r="MPH341" s="85"/>
      <c r="MPI341" s="82"/>
      <c r="MPJ341" s="82"/>
      <c r="MPK341" s="86"/>
      <c r="MPL341" s="82"/>
      <c r="MPM341" s="82"/>
      <c r="MPN341" s="82"/>
      <c r="MPO341" s="82"/>
      <c r="MPP341" s="83"/>
      <c r="MPQ341" s="98"/>
      <c r="MPR341" s="85"/>
      <c r="MPS341" s="82"/>
      <c r="MPT341" s="82"/>
      <c r="MPU341" s="86"/>
      <c r="MPV341" s="82"/>
      <c r="MPW341" s="82"/>
      <c r="MPX341" s="82"/>
      <c r="MPY341" s="82"/>
      <c r="MPZ341" s="83"/>
      <c r="MQA341" s="98"/>
      <c r="MQB341" s="85"/>
      <c r="MQC341" s="82"/>
      <c r="MQD341" s="82"/>
      <c r="MQE341" s="86"/>
      <c r="MQF341" s="82"/>
      <c r="MQG341" s="82"/>
      <c r="MQH341" s="82"/>
      <c r="MQI341" s="82"/>
      <c r="MQJ341" s="83"/>
      <c r="MQK341" s="98"/>
      <c r="MQL341" s="85"/>
      <c r="MQM341" s="82"/>
      <c r="MQN341" s="82"/>
      <c r="MQO341" s="86"/>
      <c r="MQP341" s="82"/>
      <c r="MQQ341" s="82"/>
      <c r="MQR341" s="82"/>
      <c r="MQS341" s="82"/>
      <c r="MQT341" s="83"/>
      <c r="MQU341" s="98"/>
      <c r="MQV341" s="85"/>
      <c r="MQW341" s="82"/>
      <c r="MQX341" s="82"/>
      <c r="MQY341" s="86"/>
      <c r="MQZ341" s="82"/>
      <c r="MRA341" s="82"/>
      <c r="MRB341" s="82"/>
      <c r="MRC341" s="82"/>
      <c r="MRD341" s="83"/>
      <c r="MRE341" s="98"/>
      <c r="MRF341" s="85"/>
      <c r="MRG341" s="82"/>
      <c r="MRH341" s="82"/>
      <c r="MRI341" s="86"/>
      <c r="MRJ341" s="82"/>
      <c r="MRK341" s="82"/>
      <c r="MRL341" s="82"/>
      <c r="MRM341" s="82"/>
      <c r="MRN341" s="83"/>
      <c r="MRO341" s="98"/>
      <c r="MRP341" s="85"/>
      <c r="MRQ341" s="82"/>
      <c r="MRR341" s="82"/>
      <c r="MRS341" s="86"/>
      <c r="MRT341" s="82"/>
      <c r="MRU341" s="82"/>
      <c r="MRV341" s="82"/>
      <c r="MRW341" s="82"/>
      <c r="MRX341" s="83"/>
      <c r="MRY341" s="98"/>
      <c r="MRZ341" s="85"/>
      <c r="MSA341" s="82"/>
      <c r="MSB341" s="82"/>
      <c r="MSC341" s="86"/>
      <c r="MSD341" s="82"/>
      <c r="MSE341" s="82"/>
      <c r="MSF341" s="82"/>
      <c r="MSG341" s="82"/>
      <c r="MSH341" s="83"/>
      <c r="MSI341" s="98"/>
      <c r="MSJ341" s="85"/>
      <c r="MSK341" s="82"/>
      <c r="MSL341" s="82"/>
      <c r="MSM341" s="86"/>
      <c r="MSN341" s="82"/>
      <c r="MSO341" s="82"/>
      <c r="MSP341" s="82"/>
      <c r="MSQ341" s="82"/>
      <c r="MSR341" s="83"/>
      <c r="MSS341" s="98"/>
      <c r="MST341" s="85"/>
      <c r="MSU341" s="82"/>
      <c r="MSV341" s="82"/>
      <c r="MSW341" s="86"/>
      <c r="MSX341" s="82"/>
      <c r="MSY341" s="82"/>
      <c r="MSZ341" s="82"/>
      <c r="MTA341" s="82"/>
      <c r="MTB341" s="83"/>
      <c r="MTC341" s="98"/>
      <c r="MTD341" s="85"/>
      <c r="MTE341" s="82"/>
      <c r="MTF341" s="82"/>
      <c r="MTG341" s="86"/>
      <c r="MTH341" s="82"/>
      <c r="MTI341" s="82"/>
      <c r="MTJ341" s="82"/>
      <c r="MTK341" s="82"/>
      <c r="MTL341" s="83"/>
      <c r="MTM341" s="98"/>
      <c r="MTN341" s="85"/>
      <c r="MTO341" s="82"/>
      <c r="MTP341" s="82"/>
      <c r="MTQ341" s="86"/>
      <c r="MTR341" s="82"/>
      <c r="MTS341" s="82"/>
      <c r="MTT341" s="82"/>
      <c r="MTU341" s="82"/>
      <c r="MTV341" s="83"/>
      <c r="MTW341" s="98"/>
      <c r="MTX341" s="85"/>
      <c r="MTY341" s="82"/>
      <c r="MTZ341" s="82"/>
      <c r="MUA341" s="86"/>
      <c r="MUB341" s="82"/>
      <c r="MUC341" s="82"/>
      <c r="MUD341" s="82"/>
      <c r="MUE341" s="82"/>
      <c r="MUF341" s="83"/>
      <c r="MUG341" s="98"/>
      <c r="MUH341" s="85"/>
      <c r="MUI341" s="82"/>
      <c r="MUJ341" s="82"/>
      <c r="MUK341" s="86"/>
      <c r="MUL341" s="82"/>
      <c r="MUM341" s="82"/>
      <c r="MUN341" s="82"/>
      <c r="MUO341" s="82"/>
      <c r="MUP341" s="83"/>
      <c r="MUQ341" s="98"/>
      <c r="MUR341" s="85"/>
      <c r="MUS341" s="82"/>
      <c r="MUT341" s="82"/>
      <c r="MUU341" s="86"/>
      <c r="MUV341" s="82"/>
      <c r="MUW341" s="82"/>
      <c r="MUX341" s="82"/>
      <c r="MUY341" s="82"/>
      <c r="MUZ341" s="83"/>
      <c r="MVA341" s="98"/>
      <c r="MVB341" s="85"/>
      <c r="MVC341" s="82"/>
      <c r="MVD341" s="82"/>
      <c r="MVE341" s="86"/>
      <c r="MVF341" s="82"/>
      <c r="MVG341" s="82"/>
      <c r="MVH341" s="82"/>
      <c r="MVI341" s="82"/>
      <c r="MVJ341" s="83"/>
      <c r="MVK341" s="98"/>
      <c r="MVL341" s="85"/>
      <c r="MVM341" s="82"/>
      <c r="MVN341" s="82"/>
      <c r="MVO341" s="86"/>
      <c r="MVP341" s="82"/>
      <c r="MVQ341" s="82"/>
      <c r="MVR341" s="82"/>
      <c r="MVS341" s="82"/>
      <c r="MVT341" s="83"/>
      <c r="MVU341" s="98"/>
      <c r="MVV341" s="85"/>
      <c r="MVW341" s="82"/>
      <c r="MVX341" s="82"/>
      <c r="MVY341" s="86"/>
      <c r="MVZ341" s="82"/>
      <c r="MWA341" s="82"/>
      <c r="MWB341" s="82"/>
      <c r="MWC341" s="82"/>
      <c r="MWD341" s="83"/>
      <c r="MWE341" s="98"/>
      <c r="MWF341" s="85"/>
      <c r="MWG341" s="82"/>
      <c r="MWH341" s="82"/>
      <c r="MWI341" s="86"/>
      <c r="MWJ341" s="82"/>
      <c r="MWK341" s="82"/>
      <c r="MWL341" s="82"/>
      <c r="MWM341" s="82"/>
      <c r="MWN341" s="83"/>
      <c r="MWO341" s="98"/>
      <c r="MWP341" s="85"/>
      <c r="MWQ341" s="82"/>
      <c r="MWR341" s="82"/>
      <c r="MWS341" s="86"/>
      <c r="MWT341" s="82"/>
      <c r="MWU341" s="82"/>
      <c r="MWV341" s="82"/>
      <c r="MWW341" s="82"/>
      <c r="MWX341" s="83"/>
      <c r="MWY341" s="98"/>
      <c r="MWZ341" s="85"/>
      <c r="MXA341" s="82"/>
      <c r="MXB341" s="82"/>
      <c r="MXC341" s="86"/>
      <c r="MXD341" s="82"/>
      <c r="MXE341" s="82"/>
      <c r="MXF341" s="82"/>
      <c r="MXG341" s="82"/>
      <c r="MXH341" s="83"/>
      <c r="MXI341" s="98"/>
      <c r="MXJ341" s="85"/>
      <c r="MXK341" s="82"/>
      <c r="MXL341" s="82"/>
      <c r="MXM341" s="86"/>
      <c r="MXN341" s="82"/>
      <c r="MXO341" s="82"/>
      <c r="MXP341" s="82"/>
      <c r="MXQ341" s="82"/>
      <c r="MXR341" s="83"/>
      <c r="MXS341" s="98"/>
      <c r="MXT341" s="85"/>
      <c r="MXU341" s="82"/>
      <c r="MXV341" s="82"/>
      <c r="MXW341" s="86"/>
      <c r="MXX341" s="82"/>
      <c r="MXY341" s="82"/>
      <c r="MXZ341" s="82"/>
      <c r="MYA341" s="82"/>
      <c r="MYB341" s="83"/>
      <c r="MYC341" s="98"/>
      <c r="MYD341" s="85"/>
      <c r="MYE341" s="82"/>
      <c r="MYF341" s="82"/>
      <c r="MYG341" s="86"/>
      <c r="MYH341" s="82"/>
      <c r="MYI341" s="82"/>
      <c r="MYJ341" s="82"/>
      <c r="MYK341" s="82"/>
      <c r="MYL341" s="83"/>
      <c r="MYM341" s="98"/>
      <c r="MYN341" s="85"/>
      <c r="MYO341" s="82"/>
      <c r="MYP341" s="82"/>
      <c r="MYQ341" s="86"/>
      <c r="MYR341" s="82"/>
      <c r="MYS341" s="82"/>
      <c r="MYT341" s="82"/>
      <c r="MYU341" s="82"/>
      <c r="MYV341" s="83"/>
      <c r="MYW341" s="98"/>
      <c r="MYX341" s="85"/>
      <c r="MYY341" s="82"/>
      <c r="MYZ341" s="82"/>
      <c r="MZA341" s="86"/>
      <c r="MZB341" s="82"/>
      <c r="MZC341" s="82"/>
      <c r="MZD341" s="82"/>
      <c r="MZE341" s="82"/>
      <c r="MZF341" s="83"/>
      <c r="MZG341" s="98"/>
      <c r="MZH341" s="85"/>
      <c r="MZI341" s="82"/>
      <c r="MZJ341" s="82"/>
      <c r="MZK341" s="86"/>
      <c r="MZL341" s="82"/>
      <c r="MZM341" s="82"/>
      <c r="MZN341" s="82"/>
      <c r="MZO341" s="82"/>
      <c r="MZP341" s="83"/>
      <c r="MZQ341" s="98"/>
      <c r="MZR341" s="85"/>
      <c r="MZS341" s="82"/>
      <c r="MZT341" s="82"/>
      <c r="MZU341" s="86"/>
      <c r="MZV341" s="82"/>
      <c r="MZW341" s="82"/>
      <c r="MZX341" s="82"/>
      <c r="MZY341" s="82"/>
      <c r="MZZ341" s="83"/>
      <c r="NAA341" s="98"/>
      <c r="NAB341" s="85"/>
      <c r="NAC341" s="82"/>
      <c r="NAD341" s="82"/>
      <c r="NAE341" s="86"/>
      <c r="NAF341" s="82"/>
      <c r="NAG341" s="82"/>
      <c r="NAH341" s="82"/>
      <c r="NAI341" s="82"/>
      <c r="NAJ341" s="83"/>
      <c r="NAK341" s="98"/>
      <c r="NAL341" s="85"/>
      <c r="NAM341" s="82"/>
      <c r="NAN341" s="82"/>
      <c r="NAO341" s="86"/>
      <c r="NAP341" s="82"/>
      <c r="NAQ341" s="82"/>
      <c r="NAR341" s="82"/>
      <c r="NAS341" s="82"/>
      <c r="NAT341" s="83"/>
      <c r="NAU341" s="98"/>
      <c r="NAV341" s="85"/>
      <c r="NAW341" s="82"/>
      <c r="NAX341" s="82"/>
      <c r="NAY341" s="86"/>
      <c r="NAZ341" s="82"/>
      <c r="NBA341" s="82"/>
      <c r="NBB341" s="82"/>
      <c r="NBC341" s="82"/>
      <c r="NBD341" s="83"/>
      <c r="NBE341" s="98"/>
      <c r="NBF341" s="85"/>
      <c r="NBG341" s="82"/>
      <c r="NBH341" s="82"/>
      <c r="NBI341" s="86"/>
      <c r="NBJ341" s="82"/>
      <c r="NBK341" s="82"/>
      <c r="NBL341" s="82"/>
      <c r="NBM341" s="82"/>
      <c r="NBN341" s="83"/>
      <c r="NBO341" s="98"/>
      <c r="NBP341" s="85"/>
      <c r="NBQ341" s="82"/>
      <c r="NBR341" s="82"/>
      <c r="NBS341" s="86"/>
      <c r="NBT341" s="82"/>
      <c r="NBU341" s="82"/>
      <c r="NBV341" s="82"/>
      <c r="NBW341" s="82"/>
      <c r="NBX341" s="83"/>
      <c r="NBY341" s="98"/>
      <c r="NBZ341" s="85"/>
      <c r="NCA341" s="82"/>
      <c r="NCB341" s="82"/>
      <c r="NCC341" s="86"/>
      <c r="NCD341" s="82"/>
      <c r="NCE341" s="82"/>
      <c r="NCF341" s="82"/>
      <c r="NCG341" s="82"/>
      <c r="NCH341" s="83"/>
      <c r="NCI341" s="98"/>
      <c r="NCJ341" s="85"/>
      <c r="NCK341" s="82"/>
      <c r="NCL341" s="82"/>
      <c r="NCM341" s="86"/>
      <c r="NCN341" s="82"/>
      <c r="NCO341" s="82"/>
      <c r="NCP341" s="82"/>
      <c r="NCQ341" s="82"/>
      <c r="NCR341" s="83"/>
      <c r="NCS341" s="98"/>
      <c r="NCT341" s="85"/>
      <c r="NCU341" s="82"/>
      <c r="NCV341" s="82"/>
      <c r="NCW341" s="86"/>
      <c r="NCX341" s="82"/>
      <c r="NCY341" s="82"/>
      <c r="NCZ341" s="82"/>
      <c r="NDA341" s="82"/>
      <c r="NDB341" s="83"/>
      <c r="NDC341" s="98"/>
      <c r="NDD341" s="85"/>
      <c r="NDE341" s="82"/>
      <c r="NDF341" s="82"/>
      <c r="NDG341" s="86"/>
      <c r="NDH341" s="82"/>
      <c r="NDI341" s="82"/>
      <c r="NDJ341" s="82"/>
      <c r="NDK341" s="82"/>
      <c r="NDL341" s="83"/>
      <c r="NDM341" s="98"/>
      <c r="NDN341" s="85"/>
      <c r="NDO341" s="82"/>
      <c r="NDP341" s="82"/>
      <c r="NDQ341" s="86"/>
      <c r="NDR341" s="82"/>
      <c r="NDS341" s="82"/>
      <c r="NDT341" s="82"/>
      <c r="NDU341" s="82"/>
      <c r="NDV341" s="83"/>
      <c r="NDW341" s="98"/>
      <c r="NDX341" s="85"/>
      <c r="NDY341" s="82"/>
      <c r="NDZ341" s="82"/>
      <c r="NEA341" s="86"/>
      <c r="NEB341" s="82"/>
      <c r="NEC341" s="82"/>
      <c r="NED341" s="82"/>
      <c r="NEE341" s="82"/>
      <c r="NEF341" s="83"/>
      <c r="NEG341" s="98"/>
      <c r="NEH341" s="85"/>
      <c r="NEI341" s="82"/>
      <c r="NEJ341" s="82"/>
      <c r="NEK341" s="86"/>
      <c r="NEL341" s="82"/>
      <c r="NEM341" s="82"/>
      <c r="NEN341" s="82"/>
      <c r="NEO341" s="82"/>
      <c r="NEP341" s="83"/>
      <c r="NEQ341" s="98"/>
      <c r="NER341" s="85"/>
      <c r="NES341" s="82"/>
      <c r="NET341" s="82"/>
      <c r="NEU341" s="86"/>
      <c r="NEV341" s="82"/>
      <c r="NEW341" s="82"/>
      <c r="NEX341" s="82"/>
      <c r="NEY341" s="82"/>
      <c r="NEZ341" s="83"/>
      <c r="NFA341" s="98"/>
      <c r="NFB341" s="85"/>
      <c r="NFC341" s="82"/>
      <c r="NFD341" s="82"/>
      <c r="NFE341" s="86"/>
      <c r="NFF341" s="82"/>
      <c r="NFG341" s="82"/>
      <c r="NFH341" s="82"/>
      <c r="NFI341" s="82"/>
      <c r="NFJ341" s="83"/>
      <c r="NFK341" s="98"/>
      <c r="NFL341" s="85"/>
      <c r="NFM341" s="82"/>
      <c r="NFN341" s="82"/>
      <c r="NFO341" s="86"/>
      <c r="NFP341" s="82"/>
      <c r="NFQ341" s="82"/>
      <c r="NFR341" s="82"/>
      <c r="NFS341" s="82"/>
      <c r="NFT341" s="83"/>
      <c r="NFU341" s="98"/>
      <c r="NFV341" s="85"/>
      <c r="NFW341" s="82"/>
      <c r="NFX341" s="82"/>
      <c r="NFY341" s="86"/>
      <c r="NFZ341" s="82"/>
      <c r="NGA341" s="82"/>
      <c r="NGB341" s="82"/>
      <c r="NGC341" s="82"/>
      <c r="NGD341" s="83"/>
      <c r="NGE341" s="98"/>
      <c r="NGF341" s="85"/>
      <c r="NGG341" s="82"/>
      <c r="NGH341" s="82"/>
      <c r="NGI341" s="86"/>
      <c r="NGJ341" s="82"/>
      <c r="NGK341" s="82"/>
      <c r="NGL341" s="82"/>
      <c r="NGM341" s="82"/>
      <c r="NGN341" s="83"/>
      <c r="NGO341" s="98"/>
      <c r="NGP341" s="85"/>
      <c r="NGQ341" s="82"/>
      <c r="NGR341" s="82"/>
      <c r="NGS341" s="86"/>
      <c r="NGT341" s="82"/>
      <c r="NGU341" s="82"/>
      <c r="NGV341" s="82"/>
      <c r="NGW341" s="82"/>
      <c r="NGX341" s="83"/>
      <c r="NGY341" s="98"/>
      <c r="NGZ341" s="85"/>
      <c r="NHA341" s="82"/>
      <c r="NHB341" s="82"/>
      <c r="NHC341" s="86"/>
      <c r="NHD341" s="82"/>
      <c r="NHE341" s="82"/>
      <c r="NHF341" s="82"/>
      <c r="NHG341" s="82"/>
      <c r="NHH341" s="83"/>
      <c r="NHI341" s="98"/>
      <c r="NHJ341" s="85"/>
      <c r="NHK341" s="82"/>
      <c r="NHL341" s="82"/>
      <c r="NHM341" s="86"/>
      <c r="NHN341" s="82"/>
      <c r="NHO341" s="82"/>
      <c r="NHP341" s="82"/>
      <c r="NHQ341" s="82"/>
      <c r="NHR341" s="83"/>
      <c r="NHS341" s="98"/>
      <c r="NHT341" s="85"/>
      <c r="NHU341" s="82"/>
      <c r="NHV341" s="82"/>
      <c r="NHW341" s="86"/>
      <c r="NHX341" s="82"/>
      <c r="NHY341" s="82"/>
      <c r="NHZ341" s="82"/>
      <c r="NIA341" s="82"/>
      <c r="NIB341" s="83"/>
      <c r="NIC341" s="98"/>
      <c r="NID341" s="85"/>
      <c r="NIE341" s="82"/>
      <c r="NIF341" s="82"/>
      <c r="NIG341" s="86"/>
      <c r="NIH341" s="82"/>
      <c r="NII341" s="82"/>
      <c r="NIJ341" s="82"/>
      <c r="NIK341" s="82"/>
      <c r="NIL341" s="83"/>
      <c r="NIM341" s="98"/>
      <c r="NIN341" s="85"/>
      <c r="NIO341" s="82"/>
      <c r="NIP341" s="82"/>
      <c r="NIQ341" s="86"/>
      <c r="NIR341" s="82"/>
      <c r="NIS341" s="82"/>
      <c r="NIT341" s="82"/>
      <c r="NIU341" s="82"/>
      <c r="NIV341" s="83"/>
      <c r="NIW341" s="98"/>
      <c r="NIX341" s="85"/>
      <c r="NIY341" s="82"/>
      <c r="NIZ341" s="82"/>
      <c r="NJA341" s="86"/>
      <c r="NJB341" s="82"/>
      <c r="NJC341" s="82"/>
      <c r="NJD341" s="82"/>
      <c r="NJE341" s="82"/>
      <c r="NJF341" s="83"/>
      <c r="NJG341" s="98"/>
      <c r="NJH341" s="85"/>
      <c r="NJI341" s="82"/>
      <c r="NJJ341" s="82"/>
      <c r="NJK341" s="86"/>
      <c r="NJL341" s="82"/>
      <c r="NJM341" s="82"/>
      <c r="NJN341" s="82"/>
      <c r="NJO341" s="82"/>
      <c r="NJP341" s="83"/>
      <c r="NJQ341" s="98"/>
      <c r="NJR341" s="85"/>
      <c r="NJS341" s="82"/>
      <c r="NJT341" s="82"/>
      <c r="NJU341" s="86"/>
      <c r="NJV341" s="82"/>
      <c r="NJW341" s="82"/>
      <c r="NJX341" s="82"/>
      <c r="NJY341" s="82"/>
      <c r="NJZ341" s="83"/>
      <c r="NKA341" s="98"/>
      <c r="NKB341" s="85"/>
      <c r="NKC341" s="82"/>
      <c r="NKD341" s="82"/>
      <c r="NKE341" s="86"/>
      <c r="NKF341" s="82"/>
      <c r="NKG341" s="82"/>
      <c r="NKH341" s="82"/>
      <c r="NKI341" s="82"/>
      <c r="NKJ341" s="83"/>
      <c r="NKK341" s="98"/>
      <c r="NKL341" s="85"/>
      <c r="NKM341" s="82"/>
      <c r="NKN341" s="82"/>
      <c r="NKO341" s="86"/>
      <c r="NKP341" s="82"/>
      <c r="NKQ341" s="82"/>
      <c r="NKR341" s="82"/>
      <c r="NKS341" s="82"/>
      <c r="NKT341" s="83"/>
      <c r="NKU341" s="98"/>
      <c r="NKV341" s="85"/>
      <c r="NKW341" s="82"/>
      <c r="NKX341" s="82"/>
      <c r="NKY341" s="86"/>
      <c r="NKZ341" s="82"/>
      <c r="NLA341" s="82"/>
      <c r="NLB341" s="82"/>
      <c r="NLC341" s="82"/>
      <c r="NLD341" s="83"/>
      <c r="NLE341" s="98"/>
      <c r="NLF341" s="85"/>
      <c r="NLG341" s="82"/>
      <c r="NLH341" s="82"/>
      <c r="NLI341" s="86"/>
      <c r="NLJ341" s="82"/>
      <c r="NLK341" s="82"/>
      <c r="NLL341" s="82"/>
      <c r="NLM341" s="82"/>
      <c r="NLN341" s="83"/>
      <c r="NLO341" s="98"/>
      <c r="NLP341" s="85"/>
      <c r="NLQ341" s="82"/>
      <c r="NLR341" s="82"/>
      <c r="NLS341" s="86"/>
      <c r="NLT341" s="82"/>
      <c r="NLU341" s="82"/>
      <c r="NLV341" s="82"/>
      <c r="NLW341" s="82"/>
      <c r="NLX341" s="83"/>
      <c r="NLY341" s="98"/>
      <c r="NLZ341" s="85"/>
      <c r="NMA341" s="82"/>
      <c r="NMB341" s="82"/>
      <c r="NMC341" s="86"/>
      <c r="NMD341" s="82"/>
      <c r="NME341" s="82"/>
      <c r="NMF341" s="82"/>
      <c r="NMG341" s="82"/>
      <c r="NMH341" s="83"/>
      <c r="NMI341" s="98"/>
      <c r="NMJ341" s="85"/>
      <c r="NMK341" s="82"/>
      <c r="NML341" s="82"/>
      <c r="NMM341" s="86"/>
      <c r="NMN341" s="82"/>
      <c r="NMO341" s="82"/>
      <c r="NMP341" s="82"/>
      <c r="NMQ341" s="82"/>
      <c r="NMR341" s="83"/>
      <c r="NMS341" s="98"/>
      <c r="NMT341" s="85"/>
      <c r="NMU341" s="82"/>
      <c r="NMV341" s="82"/>
      <c r="NMW341" s="86"/>
      <c r="NMX341" s="82"/>
      <c r="NMY341" s="82"/>
      <c r="NMZ341" s="82"/>
      <c r="NNA341" s="82"/>
      <c r="NNB341" s="83"/>
      <c r="NNC341" s="98"/>
      <c r="NND341" s="85"/>
      <c r="NNE341" s="82"/>
      <c r="NNF341" s="82"/>
      <c r="NNG341" s="86"/>
      <c r="NNH341" s="82"/>
      <c r="NNI341" s="82"/>
      <c r="NNJ341" s="82"/>
      <c r="NNK341" s="82"/>
      <c r="NNL341" s="83"/>
      <c r="NNM341" s="98"/>
      <c r="NNN341" s="85"/>
      <c r="NNO341" s="82"/>
      <c r="NNP341" s="82"/>
      <c r="NNQ341" s="86"/>
      <c r="NNR341" s="82"/>
      <c r="NNS341" s="82"/>
      <c r="NNT341" s="82"/>
      <c r="NNU341" s="82"/>
      <c r="NNV341" s="83"/>
      <c r="NNW341" s="98"/>
      <c r="NNX341" s="85"/>
      <c r="NNY341" s="82"/>
      <c r="NNZ341" s="82"/>
      <c r="NOA341" s="86"/>
      <c r="NOB341" s="82"/>
      <c r="NOC341" s="82"/>
      <c r="NOD341" s="82"/>
      <c r="NOE341" s="82"/>
      <c r="NOF341" s="83"/>
      <c r="NOG341" s="98"/>
      <c r="NOH341" s="85"/>
      <c r="NOI341" s="82"/>
      <c r="NOJ341" s="82"/>
      <c r="NOK341" s="86"/>
      <c r="NOL341" s="82"/>
      <c r="NOM341" s="82"/>
      <c r="NON341" s="82"/>
      <c r="NOO341" s="82"/>
      <c r="NOP341" s="83"/>
      <c r="NOQ341" s="98"/>
      <c r="NOR341" s="85"/>
      <c r="NOS341" s="82"/>
      <c r="NOT341" s="82"/>
      <c r="NOU341" s="86"/>
      <c r="NOV341" s="82"/>
      <c r="NOW341" s="82"/>
      <c r="NOX341" s="82"/>
      <c r="NOY341" s="82"/>
      <c r="NOZ341" s="83"/>
      <c r="NPA341" s="98"/>
      <c r="NPB341" s="85"/>
      <c r="NPC341" s="82"/>
      <c r="NPD341" s="82"/>
      <c r="NPE341" s="86"/>
      <c r="NPF341" s="82"/>
      <c r="NPG341" s="82"/>
      <c r="NPH341" s="82"/>
      <c r="NPI341" s="82"/>
      <c r="NPJ341" s="83"/>
      <c r="NPK341" s="98"/>
      <c r="NPL341" s="85"/>
      <c r="NPM341" s="82"/>
      <c r="NPN341" s="82"/>
      <c r="NPO341" s="86"/>
      <c r="NPP341" s="82"/>
      <c r="NPQ341" s="82"/>
      <c r="NPR341" s="82"/>
      <c r="NPS341" s="82"/>
      <c r="NPT341" s="83"/>
      <c r="NPU341" s="98"/>
      <c r="NPV341" s="85"/>
      <c r="NPW341" s="82"/>
      <c r="NPX341" s="82"/>
      <c r="NPY341" s="86"/>
      <c r="NPZ341" s="82"/>
      <c r="NQA341" s="82"/>
      <c r="NQB341" s="82"/>
      <c r="NQC341" s="82"/>
      <c r="NQD341" s="83"/>
      <c r="NQE341" s="98"/>
      <c r="NQF341" s="85"/>
      <c r="NQG341" s="82"/>
      <c r="NQH341" s="82"/>
      <c r="NQI341" s="86"/>
      <c r="NQJ341" s="82"/>
      <c r="NQK341" s="82"/>
      <c r="NQL341" s="82"/>
      <c r="NQM341" s="82"/>
      <c r="NQN341" s="83"/>
      <c r="NQO341" s="98"/>
      <c r="NQP341" s="85"/>
      <c r="NQQ341" s="82"/>
      <c r="NQR341" s="82"/>
      <c r="NQS341" s="86"/>
      <c r="NQT341" s="82"/>
      <c r="NQU341" s="82"/>
      <c r="NQV341" s="82"/>
      <c r="NQW341" s="82"/>
      <c r="NQX341" s="83"/>
      <c r="NQY341" s="98"/>
      <c r="NQZ341" s="85"/>
      <c r="NRA341" s="82"/>
      <c r="NRB341" s="82"/>
      <c r="NRC341" s="86"/>
      <c r="NRD341" s="82"/>
      <c r="NRE341" s="82"/>
      <c r="NRF341" s="82"/>
      <c r="NRG341" s="82"/>
      <c r="NRH341" s="83"/>
      <c r="NRI341" s="98"/>
      <c r="NRJ341" s="85"/>
      <c r="NRK341" s="82"/>
      <c r="NRL341" s="82"/>
      <c r="NRM341" s="86"/>
      <c r="NRN341" s="82"/>
      <c r="NRO341" s="82"/>
      <c r="NRP341" s="82"/>
      <c r="NRQ341" s="82"/>
      <c r="NRR341" s="83"/>
      <c r="NRS341" s="98"/>
      <c r="NRT341" s="85"/>
      <c r="NRU341" s="82"/>
      <c r="NRV341" s="82"/>
      <c r="NRW341" s="86"/>
      <c r="NRX341" s="82"/>
      <c r="NRY341" s="82"/>
      <c r="NRZ341" s="82"/>
      <c r="NSA341" s="82"/>
      <c r="NSB341" s="83"/>
      <c r="NSC341" s="98"/>
      <c r="NSD341" s="85"/>
      <c r="NSE341" s="82"/>
      <c r="NSF341" s="82"/>
      <c r="NSG341" s="86"/>
      <c r="NSH341" s="82"/>
      <c r="NSI341" s="82"/>
      <c r="NSJ341" s="82"/>
      <c r="NSK341" s="82"/>
      <c r="NSL341" s="83"/>
      <c r="NSM341" s="98"/>
      <c r="NSN341" s="85"/>
      <c r="NSO341" s="82"/>
      <c r="NSP341" s="82"/>
      <c r="NSQ341" s="86"/>
      <c r="NSR341" s="82"/>
      <c r="NSS341" s="82"/>
      <c r="NST341" s="82"/>
      <c r="NSU341" s="82"/>
      <c r="NSV341" s="83"/>
      <c r="NSW341" s="98"/>
      <c r="NSX341" s="85"/>
      <c r="NSY341" s="82"/>
      <c r="NSZ341" s="82"/>
      <c r="NTA341" s="86"/>
      <c r="NTB341" s="82"/>
      <c r="NTC341" s="82"/>
      <c r="NTD341" s="82"/>
      <c r="NTE341" s="82"/>
      <c r="NTF341" s="83"/>
      <c r="NTG341" s="98"/>
      <c r="NTH341" s="85"/>
      <c r="NTI341" s="82"/>
      <c r="NTJ341" s="82"/>
      <c r="NTK341" s="86"/>
      <c r="NTL341" s="82"/>
      <c r="NTM341" s="82"/>
      <c r="NTN341" s="82"/>
      <c r="NTO341" s="82"/>
      <c r="NTP341" s="83"/>
      <c r="NTQ341" s="98"/>
      <c r="NTR341" s="85"/>
      <c r="NTS341" s="82"/>
      <c r="NTT341" s="82"/>
      <c r="NTU341" s="86"/>
      <c r="NTV341" s="82"/>
      <c r="NTW341" s="82"/>
      <c r="NTX341" s="82"/>
      <c r="NTY341" s="82"/>
      <c r="NTZ341" s="83"/>
      <c r="NUA341" s="98"/>
      <c r="NUB341" s="85"/>
      <c r="NUC341" s="82"/>
      <c r="NUD341" s="82"/>
      <c r="NUE341" s="86"/>
      <c r="NUF341" s="82"/>
      <c r="NUG341" s="82"/>
      <c r="NUH341" s="82"/>
      <c r="NUI341" s="82"/>
      <c r="NUJ341" s="83"/>
      <c r="NUK341" s="98"/>
      <c r="NUL341" s="85"/>
      <c r="NUM341" s="82"/>
      <c r="NUN341" s="82"/>
      <c r="NUO341" s="86"/>
      <c r="NUP341" s="82"/>
      <c r="NUQ341" s="82"/>
      <c r="NUR341" s="82"/>
      <c r="NUS341" s="82"/>
      <c r="NUT341" s="83"/>
      <c r="NUU341" s="98"/>
      <c r="NUV341" s="85"/>
      <c r="NUW341" s="82"/>
      <c r="NUX341" s="82"/>
      <c r="NUY341" s="86"/>
      <c r="NUZ341" s="82"/>
      <c r="NVA341" s="82"/>
      <c r="NVB341" s="82"/>
      <c r="NVC341" s="82"/>
      <c r="NVD341" s="83"/>
      <c r="NVE341" s="98"/>
      <c r="NVF341" s="85"/>
      <c r="NVG341" s="82"/>
      <c r="NVH341" s="82"/>
      <c r="NVI341" s="86"/>
      <c r="NVJ341" s="82"/>
      <c r="NVK341" s="82"/>
      <c r="NVL341" s="82"/>
      <c r="NVM341" s="82"/>
      <c r="NVN341" s="83"/>
      <c r="NVO341" s="98"/>
      <c r="NVP341" s="85"/>
      <c r="NVQ341" s="82"/>
      <c r="NVR341" s="82"/>
      <c r="NVS341" s="86"/>
      <c r="NVT341" s="82"/>
      <c r="NVU341" s="82"/>
      <c r="NVV341" s="82"/>
      <c r="NVW341" s="82"/>
      <c r="NVX341" s="83"/>
      <c r="NVY341" s="98"/>
      <c r="NVZ341" s="85"/>
      <c r="NWA341" s="82"/>
      <c r="NWB341" s="82"/>
      <c r="NWC341" s="86"/>
      <c r="NWD341" s="82"/>
      <c r="NWE341" s="82"/>
      <c r="NWF341" s="82"/>
      <c r="NWG341" s="82"/>
      <c r="NWH341" s="83"/>
      <c r="NWI341" s="98"/>
      <c r="NWJ341" s="85"/>
      <c r="NWK341" s="82"/>
      <c r="NWL341" s="82"/>
      <c r="NWM341" s="86"/>
      <c r="NWN341" s="82"/>
      <c r="NWO341" s="82"/>
      <c r="NWP341" s="82"/>
      <c r="NWQ341" s="82"/>
      <c r="NWR341" s="83"/>
      <c r="NWS341" s="98"/>
      <c r="NWT341" s="85"/>
      <c r="NWU341" s="82"/>
      <c r="NWV341" s="82"/>
      <c r="NWW341" s="86"/>
      <c r="NWX341" s="82"/>
      <c r="NWY341" s="82"/>
      <c r="NWZ341" s="82"/>
      <c r="NXA341" s="82"/>
      <c r="NXB341" s="83"/>
      <c r="NXC341" s="98"/>
      <c r="NXD341" s="85"/>
      <c r="NXE341" s="82"/>
      <c r="NXF341" s="82"/>
      <c r="NXG341" s="86"/>
      <c r="NXH341" s="82"/>
      <c r="NXI341" s="82"/>
      <c r="NXJ341" s="82"/>
      <c r="NXK341" s="82"/>
      <c r="NXL341" s="83"/>
      <c r="NXM341" s="98"/>
      <c r="NXN341" s="85"/>
      <c r="NXO341" s="82"/>
      <c r="NXP341" s="82"/>
      <c r="NXQ341" s="86"/>
      <c r="NXR341" s="82"/>
      <c r="NXS341" s="82"/>
      <c r="NXT341" s="82"/>
      <c r="NXU341" s="82"/>
      <c r="NXV341" s="83"/>
      <c r="NXW341" s="98"/>
      <c r="NXX341" s="85"/>
      <c r="NXY341" s="82"/>
      <c r="NXZ341" s="82"/>
      <c r="NYA341" s="86"/>
      <c r="NYB341" s="82"/>
      <c r="NYC341" s="82"/>
      <c r="NYD341" s="82"/>
      <c r="NYE341" s="82"/>
      <c r="NYF341" s="83"/>
      <c r="NYG341" s="98"/>
      <c r="NYH341" s="85"/>
      <c r="NYI341" s="82"/>
      <c r="NYJ341" s="82"/>
      <c r="NYK341" s="86"/>
      <c r="NYL341" s="82"/>
      <c r="NYM341" s="82"/>
      <c r="NYN341" s="82"/>
      <c r="NYO341" s="82"/>
      <c r="NYP341" s="83"/>
      <c r="NYQ341" s="98"/>
      <c r="NYR341" s="85"/>
      <c r="NYS341" s="82"/>
      <c r="NYT341" s="82"/>
      <c r="NYU341" s="86"/>
      <c r="NYV341" s="82"/>
      <c r="NYW341" s="82"/>
      <c r="NYX341" s="82"/>
      <c r="NYY341" s="82"/>
      <c r="NYZ341" s="83"/>
      <c r="NZA341" s="98"/>
      <c r="NZB341" s="85"/>
      <c r="NZC341" s="82"/>
      <c r="NZD341" s="82"/>
      <c r="NZE341" s="86"/>
      <c r="NZF341" s="82"/>
      <c r="NZG341" s="82"/>
      <c r="NZH341" s="82"/>
      <c r="NZI341" s="82"/>
      <c r="NZJ341" s="83"/>
      <c r="NZK341" s="98"/>
      <c r="NZL341" s="85"/>
      <c r="NZM341" s="82"/>
      <c r="NZN341" s="82"/>
      <c r="NZO341" s="86"/>
      <c r="NZP341" s="82"/>
      <c r="NZQ341" s="82"/>
      <c r="NZR341" s="82"/>
      <c r="NZS341" s="82"/>
      <c r="NZT341" s="83"/>
      <c r="NZU341" s="98"/>
      <c r="NZV341" s="85"/>
      <c r="NZW341" s="82"/>
      <c r="NZX341" s="82"/>
      <c r="NZY341" s="86"/>
      <c r="NZZ341" s="82"/>
      <c r="OAA341" s="82"/>
      <c r="OAB341" s="82"/>
      <c r="OAC341" s="82"/>
      <c r="OAD341" s="83"/>
      <c r="OAE341" s="98"/>
      <c r="OAF341" s="85"/>
      <c r="OAG341" s="82"/>
      <c r="OAH341" s="82"/>
      <c r="OAI341" s="86"/>
      <c r="OAJ341" s="82"/>
      <c r="OAK341" s="82"/>
      <c r="OAL341" s="82"/>
      <c r="OAM341" s="82"/>
      <c r="OAN341" s="83"/>
      <c r="OAO341" s="98"/>
      <c r="OAP341" s="85"/>
      <c r="OAQ341" s="82"/>
      <c r="OAR341" s="82"/>
      <c r="OAS341" s="86"/>
      <c r="OAT341" s="82"/>
      <c r="OAU341" s="82"/>
      <c r="OAV341" s="82"/>
      <c r="OAW341" s="82"/>
      <c r="OAX341" s="83"/>
      <c r="OAY341" s="98"/>
      <c r="OAZ341" s="85"/>
      <c r="OBA341" s="82"/>
      <c r="OBB341" s="82"/>
      <c r="OBC341" s="86"/>
      <c r="OBD341" s="82"/>
      <c r="OBE341" s="82"/>
      <c r="OBF341" s="82"/>
      <c r="OBG341" s="82"/>
      <c r="OBH341" s="83"/>
      <c r="OBI341" s="98"/>
      <c r="OBJ341" s="85"/>
      <c r="OBK341" s="82"/>
      <c r="OBL341" s="82"/>
      <c r="OBM341" s="86"/>
      <c r="OBN341" s="82"/>
      <c r="OBO341" s="82"/>
      <c r="OBP341" s="82"/>
      <c r="OBQ341" s="82"/>
      <c r="OBR341" s="83"/>
      <c r="OBS341" s="98"/>
      <c r="OBT341" s="85"/>
      <c r="OBU341" s="82"/>
      <c r="OBV341" s="82"/>
      <c r="OBW341" s="86"/>
      <c r="OBX341" s="82"/>
      <c r="OBY341" s="82"/>
      <c r="OBZ341" s="82"/>
      <c r="OCA341" s="82"/>
      <c r="OCB341" s="83"/>
      <c r="OCC341" s="98"/>
      <c r="OCD341" s="85"/>
      <c r="OCE341" s="82"/>
      <c r="OCF341" s="82"/>
      <c r="OCG341" s="86"/>
      <c r="OCH341" s="82"/>
      <c r="OCI341" s="82"/>
      <c r="OCJ341" s="82"/>
      <c r="OCK341" s="82"/>
      <c r="OCL341" s="83"/>
      <c r="OCM341" s="98"/>
      <c r="OCN341" s="85"/>
      <c r="OCO341" s="82"/>
      <c r="OCP341" s="82"/>
      <c r="OCQ341" s="86"/>
      <c r="OCR341" s="82"/>
      <c r="OCS341" s="82"/>
      <c r="OCT341" s="82"/>
      <c r="OCU341" s="82"/>
      <c r="OCV341" s="83"/>
      <c r="OCW341" s="98"/>
      <c r="OCX341" s="85"/>
      <c r="OCY341" s="82"/>
      <c r="OCZ341" s="82"/>
      <c r="ODA341" s="86"/>
      <c r="ODB341" s="82"/>
      <c r="ODC341" s="82"/>
      <c r="ODD341" s="82"/>
      <c r="ODE341" s="82"/>
      <c r="ODF341" s="83"/>
      <c r="ODG341" s="98"/>
      <c r="ODH341" s="85"/>
      <c r="ODI341" s="82"/>
      <c r="ODJ341" s="82"/>
      <c r="ODK341" s="86"/>
      <c r="ODL341" s="82"/>
      <c r="ODM341" s="82"/>
      <c r="ODN341" s="82"/>
      <c r="ODO341" s="82"/>
      <c r="ODP341" s="83"/>
      <c r="ODQ341" s="98"/>
      <c r="ODR341" s="85"/>
      <c r="ODS341" s="82"/>
      <c r="ODT341" s="82"/>
      <c r="ODU341" s="86"/>
      <c r="ODV341" s="82"/>
      <c r="ODW341" s="82"/>
      <c r="ODX341" s="82"/>
      <c r="ODY341" s="82"/>
      <c r="ODZ341" s="83"/>
      <c r="OEA341" s="98"/>
      <c r="OEB341" s="85"/>
      <c r="OEC341" s="82"/>
      <c r="OED341" s="82"/>
      <c r="OEE341" s="86"/>
      <c r="OEF341" s="82"/>
      <c r="OEG341" s="82"/>
      <c r="OEH341" s="82"/>
      <c r="OEI341" s="82"/>
      <c r="OEJ341" s="83"/>
      <c r="OEK341" s="98"/>
      <c r="OEL341" s="85"/>
      <c r="OEM341" s="82"/>
      <c r="OEN341" s="82"/>
      <c r="OEO341" s="86"/>
      <c r="OEP341" s="82"/>
      <c r="OEQ341" s="82"/>
      <c r="OER341" s="82"/>
      <c r="OES341" s="82"/>
      <c r="OET341" s="83"/>
      <c r="OEU341" s="98"/>
      <c r="OEV341" s="85"/>
      <c r="OEW341" s="82"/>
      <c r="OEX341" s="82"/>
      <c r="OEY341" s="86"/>
      <c r="OEZ341" s="82"/>
      <c r="OFA341" s="82"/>
      <c r="OFB341" s="82"/>
      <c r="OFC341" s="82"/>
      <c r="OFD341" s="83"/>
      <c r="OFE341" s="98"/>
      <c r="OFF341" s="85"/>
      <c r="OFG341" s="82"/>
      <c r="OFH341" s="82"/>
      <c r="OFI341" s="86"/>
      <c r="OFJ341" s="82"/>
      <c r="OFK341" s="82"/>
      <c r="OFL341" s="82"/>
      <c r="OFM341" s="82"/>
      <c r="OFN341" s="83"/>
      <c r="OFO341" s="98"/>
      <c r="OFP341" s="85"/>
      <c r="OFQ341" s="82"/>
      <c r="OFR341" s="82"/>
      <c r="OFS341" s="86"/>
      <c r="OFT341" s="82"/>
      <c r="OFU341" s="82"/>
      <c r="OFV341" s="82"/>
      <c r="OFW341" s="82"/>
      <c r="OFX341" s="83"/>
      <c r="OFY341" s="98"/>
      <c r="OFZ341" s="85"/>
      <c r="OGA341" s="82"/>
      <c r="OGB341" s="82"/>
      <c r="OGC341" s="86"/>
      <c r="OGD341" s="82"/>
      <c r="OGE341" s="82"/>
      <c r="OGF341" s="82"/>
      <c r="OGG341" s="82"/>
      <c r="OGH341" s="83"/>
      <c r="OGI341" s="98"/>
      <c r="OGJ341" s="85"/>
      <c r="OGK341" s="82"/>
      <c r="OGL341" s="82"/>
      <c r="OGM341" s="86"/>
      <c r="OGN341" s="82"/>
      <c r="OGO341" s="82"/>
      <c r="OGP341" s="82"/>
      <c r="OGQ341" s="82"/>
      <c r="OGR341" s="83"/>
      <c r="OGS341" s="98"/>
      <c r="OGT341" s="85"/>
      <c r="OGU341" s="82"/>
      <c r="OGV341" s="82"/>
      <c r="OGW341" s="86"/>
      <c r="OGX341" s="82"/>
      <c r="OGY341" s="82"/>
      <c r="OGZ341" s="82"/>
      <c r="OHA341" s="82"/>
      <c r="OHB341" s="83"/>
      <c r="OHC341" s="98"/>
      <c r="OHD341" s="85"/>
      <c r="OHE341" s="82"/>
      <c r="OHF341" s="82"/>
      <c r="OHG341" s="86"/>
      <c r="OHH341" s="82"/>
      <c r="OHI341" s="82"/>
      <c r="OHJ341" s="82"/>
      <c r="OHK341" s="82"/>
      <c r="OHL341" s="83"/>
      <c r="OHM341" s="98"/>
      <c r="OHN341" s="85"/>
      <c r="OHO341" s="82"/>
      <c r="OHP341" s="82"/>
      <c r="OHQ341" s="86"/>
      <c r="OHR341" s="82"/>
      <c r="OHS341" s="82"/>
      <c r="OHT341" s="82"/>
      <c r="OHU341" s="82"/>
      <c r="OHV341" s="83"/>
      <c r="OHW341" s="98"/>
      <c r="OHX341" s="85"/>
      <c r="OHY341" s="82"/>
      <c r="OHZ341" s="82"/>
      <c r="OIA341" s="86"/>
      <c r="OIB341" s="82"/>
      <c r="OIC341" s="82"/>
      <c r="OID341" s="82"/>
      <c r="OIE341" s="82"/>
      <c r="OIF341" s="83"/>
      <c r="OIG341" s="98"/>
      <c r="OIH341" s="85"/>
      <c r="OII341" s="82"/>
      <c r="OIJ341" s="82"/>
      <c r="OIK341" s="86"/>
      <c r="OIL341" s="82"/>
      <c r="OIM341" s="82"/>
      <c r="OIN341" s="82"/>
      <c r="OIO341" s="82"/>
      <c r="OIP341" s="83"/>
      <c r="OIQ341" s="98"/>
      <c r="OIR341" s="85"/>
      <c r="OIS341" s="82"/>
      <c r="OIT341" s="82"/>
      <c r="OIU341" s="86"/>
      <c r="OIV341" s="82"/>
      <c r="OIW341" s="82"/>
      <c r="OIX341" s="82"/>
      <c r="OIY341" s="82"/>
      <c r="OIZ341" s="83"/>
      <c r="OJA341" s="98"/>
      <c r="OJB341" s="85"/>
      <c r="OJC341" s="82"/>
      <c r="OJD341" s="82"/>
      <c r="OJE341" s="86"/>
      <c r="OJF341" s="82"/>
      <c r="OJG341" s="82"/>
      <c r="OJH341" s="82"/>
      <c r="OJI341" s="82"/>
      <c r="OJJ341" s="83"/>
      <c r="OJK341" s="98"/>
      <c r="OJL341" s="85"/>
      <c r="OJM341" s="82"/>
      <c r="OJN341" s="82"/>
      <c r="OJO341" s="86"/>
      <c r="OJP341" s="82"/>
      <c r="OJQ341" s="82"/>
      <c r="OJR341" s="82"/>
      <c r="OJS341" s="82"/>
      <c r="OJT341" s="83"/>
      <c r="OJU341" s="98"/>
      <c r="OJV341" s="85"/>
      <c r="OJW341" s="82"/>
      <c r="OJX341" s="82"/>
      <c r="OJY341" s="86"/>
      <c r="OJZ341" s="82"/>
      <c r="OKA341" s="82"/>
      <c r="OKB341" s="82"/>
      <c r="OKC341" s="82"/>
      <c r="OKD341" s="83"/>
      <c r="OKE341" s="98"/>
      <c r="OKF341" s="85"/>
      <c r="OKG341" s="82"/>
      <c r="OKH341" s="82"/>
      <c r="OKI341" s="86"/>
      <c r="OKJ341" s="82"/>
      <c r="OKK341" s="82"/>
      <c r="OKL341" s="82"/>
      <c r="OKM341" s="82"/>
      <c r="OKN341" s="83"/>
      <c r="OKO341" s="98"/>
      <c r="OKP341" s="85"/>
      <c r="OKQ341" s="82"/>
      <c r="OKR341" s="82"/>
      <c r="OKS341" s="86"/>
      <c r="OKT341" s="82"/>
      <c r="OKU341" s="82"/>
      <c r="OKV341" s="82"/>
      <c r="OKW341" s="82"/>
      <c r="OKX341" s="83"/>
      <c r="OKY341" s="98"/>
      <c r="OKZ341" s="85"/>
      <c r="OLA341" s="82"/>
      <c r="OLB341" s="82"/>
      <c r="OLC341" s="86"/>
      <c r="OLD341" s="82"/>
      <c r="OLE341" s="82"/>
      <c r="OLF341" s="82"/>
      <c r="OLG341" s="82"/>
      <c r="OLH341" s="83"/>
      <c r="OLI341" s="98"/>
      <c r="OLJ341" s="85"/>
      <c r="OLK341" s="82"/>
      <c r="OLL341" s="82"/>
      <c r="OLM341" s="86"/>
      <c r="OLN341" s="82"/>
      <c r="OLO341" s="82"/>
      <c r="OLP341" s="82"/>
      <c r="OLQ341" s="82"/>
      <c r="OLR341" s="83"/>
      <c r="OLS341" s="98"/>
      <c r="OLT341" s="85"/>
      <c r="OLU341" s="82"/>
      <c r="OLV341" s="82"/>
      <c r="OLW341" s="86"/>
      <c r="OLX341" s="82"/>
      <c r="OLY341" s="82"/>
      <c r="OLZ341" s="82"/>
      <c r="OMA341" s="82"/>
      <c r="OMB341" s="83"/>
      <c r="OMC341" s="98"/>
      <c r="OMD341" s="85"/>
      <c r="OME341" s="82"/>
      <c r="OMF341" s="82"/>
      <c r="OMG341" s="86"/>
      <c r="OMH341" s="82"/>
      <c r="OMI341" s="82"/>
      <c r="OMJ341" s="82"/>
      <c r="OMK341" s="82"/>
      <c r="OML341" s="83"/>
      <c r="OMM341" s="98"/>
      <c r="OMN341" s="85"/>
      <c r="OMO341" s="82"/>
      <c r="OMP341" s="82"/>
      <c r="OMQ341" s="86"/>
      <c r="OMR341" s="82"/>
      <c r="OMS341" s="82"/>
      <c r="OMT341" s="82"/>
      <c r="OMU341" s="82"/>
      <c r="OMV341" s="83"/>
      <c r="OMW341" s="98"/>
      <c r="OMX341" s="85"/>
      <c r="OMY341" s="82"/>
      <c r="OMZ341" s="82"/>
      <c r="ONA341" s="86"/>
      <c r="ONB341" s="82"/>
      <c r="ONC341" s="82"/>
      <c r="OND341" s="82"/>
      <c r="ONE341" s="82"/>
      <c r="ONF341" s="83"/>
      <c r="ONG341" s="98"/>
      <c r="ONH341" s="85"/>
      <c r="ONI341" s="82"/>
      <c r="ONJ341" s="82"/>
      <c r="ONK341" s="86"/>
      <c r="ONL341" s="82"/>
      <c r="ONM341" s="82"/>
      <c r="ONN341" s="82"/>
      <c r="ONO341" s="82"/>
      <c r="ONP341" s="83"/>
      <c r="ONQ341" s="98"/>
      <c r="ONR341" s="85"/>
      <c r="ONS341" s="82"/>
      <c r="ONT341" s="82"/>
      <c r="ONU341" s="86"/>
      <c r="ONV341" s="82"/>
      <c r="ONW341" s="82"/>
      <c r="ONX341" s="82"/>
      <c r="ONY341" s="82"/>
      <c r="ONZ341" s="83"/>
      <c r="OOA341" s="98"/>
      <c r="OOB341" s="85"/>
      <c r="OOC341" s="82"/>
      <c r="OOD341" s="82"/>
      <c r="OOE341" s="86"/>
      <c r="OOF341" s="82"/>
      <c r="OOG341" s="82"/>
      <c r="OOH341" s="82"/>
      <c r="OOI341" s="82"/>
      <c r="OOJ341" s="83"/>
      <c r="OOK341" s="98"/>
      <c r="OOL341" s="85"/>
      <c r="OOM341" s="82"/>
      <c r="OON341" s="82"/>
      <c r="OOO341" s="86"/>
      <c r="OOP341" s="82"/>
      <c r="OOQ341" s="82"/>
      <c r="OOR341" s="82"/>
      <c r="OOS341" s="82"/>
      <c r="OOT341" s="83"/>
      <c r="OOU341" s="98"/>
      <c r="OOV341" s="85"/>
      <c r="OOW341" s="82"/>
      <c r="OOX341" s="82"/>
      <c r="OOY341" s="86"/>
      <c r="OOZ341" s="82"/>
      <c r="OPA341" s="82"/>
      <c r="OPB341" s="82"/>
      <c r="OPC341" s="82"/>
      <c r="OPD341" s="83"/>
      <c r="OPE341" s="98"/>
      <c r="OPF341" s="85"/>
      <c r="OPG341" s="82"/>
      <c r="OPH341" s="82"/>
      <c r="OPI341" s="86"/>
      <c r="OPJ341" s="82"/>
      <c r="OPK341" s="82"/>
      <c r="OPL341" s="82"/>
      <c r="OPM341" s="82"/>
      <c r="OPN341" s="83"/>
      <c r="OPO341" s="98"/>
      <c r="OPP341" s="85"/>
      <c r="OPQ341" s="82"/>
      <c r="OPR341" s="82"/>
      <c r="OPS341" s="86"/>
      <c r="OPT341" s="82"/>
      <c r="OPU341" s="82"/>
      <c r="OPV341" s="82"/>
      <c r="OPW341" s="82"/>
      <c r="OPX341" s="83"/>
      <c r="OPY341" s="98"/>
      <c r="OPZ341" s="85"/>
      <c r="OQA341" s="82"/>
      <c r="OQB341" s="82"/>
      <c r="OQC341" s="86"/>
      <c r="OQD341" s="82"/>
      <c r="OQE341" s="82"/>
      <c r="OQF341" s="82"/>
      <c r="OQG341" s="82"/>
      <c r="OQH341" s="83"/>
      <c r="OQI341" s="98"/>
      <c r="OQJ341" s="85"/>
      <c r="OQK341" s="82"/>
      <c r="OQL341" s="82"/>
      <c r="OQM341" s="86"/>
      <c r="OQN341" s="82"/>
      <c r="OQO341" s="82"/>
      <c r="OQP341" s="82"/>
      <c r="OQQ341" s="82"/>
      <c r="OQR341" s="83"/>
      <c r="OQS341" s="98"/>
      <c r="OQT341" s="85"/>
      <c r="OQU341" s="82"/>
      <c r="OQV341" s="82"/>
      <c r="OQW341" s="86"/>
      <c r="OQX341" s="82"/>
      <c r="OQY341" s="82"/>
      <c r="OQZ341" s="82"/>
      <c r="ORA341" s="82"/>
      <c r="ORB341" s="83"/>
      <c r="ORC341" s="98"/>
      <c r="ORD341" s="85"/>
      <c r="ORE341" s="82"/>
      <c r="ORF341" s="82"/>
      <c r="ORG341" s="86"/>
      <c r="ORH341" s="82"/>
      <c r="ORI341" s="82"/>
      <c r="ORJ341" s="82"/>
      <c r="ORK341" s="82"/>
      <c r="ORL341" s="83"/>
      <c r="ORM341" s="98"/>
      <c r="ORN341" s="85"/>
      <c r="ORO341" s="82"/>
      <c r="ORP341" s="82"/>
      <c r="ORQ341" s="86"/>
      <c r="ORR341" s="82"/>
      <c r="ORS341" s="82"/>
      <c r="ORT341" s="82"/>
      <c r="ORU341" s="82"/>
      <c r="ORV341" s="83"/>
      <c r="ORW341" s="98"/>
      <c r="ORX341" s="85"/>
      <c r="ORY341" s="82"/>
      <c r="ORZ341" s="82"/>
      <c r="OSA341" s="86"/>
      <c r="OSB341" s="82"/>
      <c r="OSC341" s="82"/>
      <c r="OSD341" s="82"/>
      <c r="OSE341" s="82"/>
      <c r="OSF341" s="83"/>
      <c r="OSG341" s="98"/>
      <c r="OSH341" s="85"/>
      <c r="OSI341" s="82"/>
      <c r="OSJ341" s="82"/>
      <c r="OSK341" s="86"/>
      <c r="OSL341" s="82"/>
      <c r="OSM341" s="82"/>
      <c r="OSN341" s="82"/>
      <c r="OSO341" s="82"/>
      <c r="OSP341" s="83"/>
      <c r="OSQ341" s="98"/>
      <c r="OSR341" s="85"/>
      <c r="OSS341" s="82"/>
      <c r="OST341" s="82"/>
      <c r="OSU341" s="86"/>
      <c r="OSV341" s="82"/>
      <c r="OSW341" s="82"/>
      <c r="OSX341" s="82"/>
      <c r="OSY341" s="82"/>
      <c r="OSZ341" s="83"/>
      <c r="OTA341" s="98"/>
      <c r="OTB341" s="85"/>
      <c r="OTC341" s="82"/>
      <c r="OTD341" s="82"/>
      <c r="OTE341" s="86"/>
      <c r="OTF341" s="82"/>
      <c r="OTG341" s="82"/>
      <c r="OTH341" s="82"/>
      <c r="OTI341" s="82"/>
      <c r="OTJ341" s="83"/>
      <c r="OTK341" s="98"/>
      <c r="OTL341" s="85"/>
      <c r="OTM341" s="82"/>
      <c r="OTN341" s="82"/>
      <c r="OTO341" s="86"/>
      <c r="OTP341" s="82"/>
      <c r="OTQ341" s="82"/>
      <c r="OTR341" s="82"/>
      <c r="OTS341" s="82"/>
      <c r="OTT341" s="83"/>
      <c r="OTU341" s="98"/>
      <c r="OTV341" s="85"/>
      <c r="OTW341" s="82"/>
      <c r="OTX341" s="82"/>
      <c r="OTY341" s="86"/>
      <c r="OTZ341" s="82"/>
      <c r="OUA341" s="82"/>
      <c r="OUB341" s="82"/>
      <c r="OUC341" s="82"/>
      <c r="OUD341" s="83"/>
      <c r="OUE341" s="98"/>
      <c r="OUF341" s="85"/>
      <c r="OUG341" s="82"/>
      <c r="OUH341" s="82"/>
      <c r="OUI341" s="86"/>
      <c r="OUJ341" s="82"/>
      <c r="OUK341" s="82"/>
      <c r="OUL341" s="82"/>
      <c r="OUM341" s="82"/>
      <c r="OUN341" s="83"/>
      <c r="OUO341" s="98"/>
      <c r="OUP341" s="85"/>
      <c r="OUQ341" s="82"/>
      <c r="OUR341" s="82"/>
      <c r="OUS341" s="86"/>
      <c r="OUT341" s="82"/>
      <c r="OUU341" s="82"/>
      <c r="OUV341" s="82"/>
      <c r="OUW341" s="82"/>
      <c r="OUX341" s="83"/>
      <c r="OUY341" s="98"/>
      <c r="OUZ341" s="85"/>
      <c r="OVA341" s="82"/>
      <c r="OVB341" s="82"/>
      <c r="OVC341" s="86"/>
      <c r="OVD341" s="82"/>
      <c r="OVE341" s="82"/>
      <c r="OVF341" s="82"/>
      <c r="OVG341" s="82"/>
      <c r="OVH341" s="83"/>
      <c r="OVI341" s="98"/>
      <c r="OVJ341" s="85"/>
      <c r="OVK341" s="82"/>
      <c r="OVL341" s="82"/>
      <c r="OVM341" s="86"/>
      <c r="OVN341" s="82"/>
      <c r="OVO341" s="82"/>
      <c r="OVP341" s="82"/>
      <c r="OVQ341" s="82"/>
      <c r="OVR341" s="83"/>
      <c r="OVS341" s="98"/>
      <c r="OVT341" s="85"/>
      <c r="OVU341" s="82"/>
      <c r="OVV341" s="82"/>
      <c r="OVW341" s="86"/>
      <c r="OVX341" s="82"/>
      <c r="OVY341" s="82"/>
      <c r="OVZ341" s="82"/>
      <c r="OWA341" s="82"/>
      <c r="OWB341" s="83"/>
      <c r="OWC341" s="98"/>
      <c r="OWD341" s="85"/>
      <c r="OWE341" s="82"/>
      <c r="OWF341" s="82"/>
      <c r="OWG341" s="86"/>
      <c r="OWH341" s="82"/>
      <c r="OWI341" s="82"/>
      <c r="OWJ341" s="82"/>
      <c r="OWK341" s="82"/>
      <c r="OWL341" s="83"/>
      <c r="OWM341" s="98"/>
      <c r="OWN341" s="85"/>
      <c r="OWO341" s="82"/>
      <c r="OWP341" s="82"/>
      <c r="OWQ341" s="86"/>
      <c r="OWR341" s="82"/>
      <c r="OWS341" s="82"/>
      <c r="OWT341" s="82"/>
      <c r="OWU341" s="82"/>
      <c r="OWV341" s="83"/>
      <c r="OWW341" s="98"/>
      <c r="OWX341" s="85"/>
      <c r="OWY341" s="82"/>
      <c r="OWZ341" s="82"/>
      <c r="OXA341" s="86"/>
      <c r="OXB341" s="82"/>
      <c r="OXC341" s="82"/>
      <c r="OXD341" s="82"/>
      <c r="OXE341" s="82"/>
      <c r="OXF341" s="83"/>
      <c r="OXG341" s="98"/>
      <c r="OXH341" s="85"/>
      <c r="OXI341" s="82"/>
      <c r="OXJ341" s="82"/>
      <c r="OXK341" s="86"/>
      <c r="OXL341" s="82"/>
      <c r="OXM341" s="82"/>
      <c r="OXN341" s="82"/>
      <c r="OXO341" s="82"/>
      <c r="OXP341" s="83"/>
      <c r="OXQ341" s="98"/>
      <c r="OXR341" s="85"/>
      <c r="OXS341" s="82"/>
      <c r="OXT341" s="82"/>
      <c r="OXU341" s="86"/>
      <c r="OXV341" s="82"/>
      <c r="OXW341" s="82"/>
      <c r="OXX341" s="82"/>
      <c r="OXY341" s="82"/>
      <c r="OXZ341" s="83"/>
      <c r="OYA341" s="98"/>
      <c r="OYB341" s="85"/>
      <c r="OYC341" s="82"/>
      <c r="OYD341" s="82"/>
      <c r="OYE341" s="86"/>
      <c r="OYF341" s="82"/>
      <c r="OYG341" s="82"/>
      <c r="OYH341" s="82"/>
      <c r="OYI341" s="82"/>
      <c r="OYJ341" s="83"/>
      <c r="OYK341" s="98"/>
      <c r="OYL341" s="85"/>
      <c r="OYM341" s="82"/>
      <c r="OYN341" s="82"/>
      <c r="OYO341" s="86"/>
      <c r="OYP341" s="82"/>
      <c r="OYQ341" s="82"/>
      <c r="OYR341" s="82"/>
      <c r="OYS341" s="82"/>
      <c r="OYT341" s="83"/>
      <c r="OYU341" s="98"/>
      <c r="OYV341" s="85"/>
      <c r="OYW341" s="82"/>
      <c r="OYX341" s="82"/>
      <c r="OYY341" s="86"/>
      <c r="OYZ341" s="82"/>
      <c r="OZA341" s="82"/>
      <c r="OZB341" s="82"/>
      <c r="OZC341" s="82"/>
      <c r="OZD341" s="83"/>
      <c r="OZE341" s="98"/>
      <c r="OZF341" s="85"/>
      <c r="OZG341" s="82"/>
      <c r="OZH341" s="82"/>
      <c r="OZI341" s="86"/>
      <c r="OZJ341" s="82"/>
      <c r="OZK341" s="82"/>
      <c r="OZL341" s="82"/>
      <c r="OZM341" s="82"/>
      <c r="OZN341" s="83"/>
      <c r="OZO341" s="98"/>
      <c r="OZP341" s="85"/>
      <c r="OZQ341" s="82"/>
      <c r="OZR341" s="82"/>
      <c r="OZS341" s="86"/>
      <c r="OZT341" s="82"/>
      <c r="OZU341" s="82"/>
      <c r="OZV341" s="82"/>
      <c r="OZW341" s="82"/>
      <c r="OZX341" s="83"/>
      <c r="OZY341" s="98"/>
      <c r="OZZ341" s="85"/>
      <c r="PAA341" s="82"/>
      <c r="PAB341" s="82"/>
      <c r="PAC341" s="86"/>
      <c r="PAD341" s="82"/>
      <c r="PAE341" s="82"/>
      <c r="PAF341" s="82"/>
      <c r="PAG341" s="82"/>
      <c r="PAH341" s="83"/>
      <c r="PAI341" s="98"/>
      <c r="PAJ341" s="85"/>
      <c r="PAK341" s="82"/>
      <c r="PAL341" s="82"/>
      <c r="PAM341" s="86"/>
      <c r="PAN341" s="82"/>
      <c r="PAO341" s="82"/>
      <c r="PAP341" s="82"/>
      <c r="PAQ341" s="82"/>
      <c r="PAR341" s="83"/>
      <c r="PAS341" s="98"/>
      <c r="PAT341" s="85"/>
      <c r="PAU341" s="82"/>
      <c r="PAV341" s="82"/>
      <c r="PAW341" s="86"/>
      <c r="PAX341" s="82"/>
      <c r="PAY341" s="82"/>
      <c r="PAZ341" s="82"/>
      <c r="PBA341" s="82"/>
      <c r="PBB341" s="83"/>
      <c r="PBC341" s="98"/>
      <c r="PBD341" s="85"/>
      <c r="PBE341" s="82"/>
      <c r="PBF341" s="82"/>
      <c r="PBG341" s="86"/>
      <c r="PBH341" s="82"/>
      <c r="PBI341" s="82"/>
      <c r="PBJ341" s="82"/>
      <c r="PBK341" s="82"/>
      <c r="PBL341" s="83"/>
      <c r="PBM341" s="98"/>
      <c r="PBN341" s="85"/>
      <c r="PBO341" s="82"/>
      <c r="PBP341" s="82"/>
      <c r="PBQ341" s="86"/>
      <c r="PBR341" s="82"/>
      <c r="PBS341" s="82"/>
      <c r="PBT341" s="82"/>
      <c r="PBU341" s="82"/>
      <c r="PBV341" s="83"/>
      <c r="PBW341" s="98"/>
      <c r="PBX341" s="85"/>
      <c r="PBY341" s="82"/>
      <c r="PBZ341" s="82"/>
      <c r="PCA341" s="86"/>
      <c r="PCB341" s="82"/>
      <c r="PCC341" s="82"/>
      <c r="PCD341" s="82"/>
      <c r="PCE341" s="82"/>
      <c r="PCF341" s="83"/>
      <c r="PCG341" s="98"/>
      <c r="PCH341" s="85"/>
      <c r="PCI341" s="82"/>
      <c r="PCJ341" s="82"/>
      <c r="PCK341" s="86"/>
      <c r="PCL341" s="82"/>
      <c r="PCM341" s="82"/>
      <c r="PCN341" s="82"/>
      <c r="PCO341" s="82"/>
      <c r="PCP341" s="83"/>
      <c r="PCQ341" s="98"/>
      <c r="PCR341" s="85"/>
      <c r="PCS341" s="82"/>
      <c r="PCT341" s="82"/>
      <c r="PCU341" s="86"/>
      <c r="PCV341" s="82"/>
      <c r="PCW341" s="82"/>
      <c r="PCX341" s="82"/>
      <c r="PCY341" s="82"/>
      <c r="PCZ341" s="83"/>
      <c r="PDA341" s="98"/>
      <c r="PDB341" s="85"/>
      <c r="PDC341" s="82"/>
      <c r="PDD341" s="82"/>
      <c r="PDE341" s="86"/>
      <c r="PDF341" s="82"/>
      <c r="PDG341" s="82"/>
      <c r="PDH341" s="82"/>
      <c r="PDI341" s="82"/>
      <c r="PDJ341" s="83"/>
      <c r="PDK341" s="98"/>
      <c r="PDL341" s="85"/>
      <c r="PDM341" s="82"/>
      <c r="PDN341" s="82"/>
      <c r="PDO341" s="86"/>
      <c r="PDP341" s="82"/>
      <c r="PDQ341" s="82"/>
      <c r="PDR341" s="82"/>
      <c r="PDS341" s="82"/>
      <c r="PDT341" s="83"/>
      <c r="PDU341" s="98"/>
      <c r="PDV341" s="85"/>
      <c r="PDW341" s="82"/>
      <c r="PDX341" s="82"/>
      <c r="PDY341" s="86"/>
      <c r="PDZ341" s="82"/>
      <c r="PEA341" s="82"/>
      <c r="PEB341" s="82"/>
      <c r="PEC341" s="82"/>
      <c r="PED341" s="83"/>
      <c r="PEE341" s="98"/>
      <c r="PEF341" s="85"/>
      <c r="PEG341" s="82"/>
      <c r="PEH341" s="82"/>
      <c r="PEI341" s="86"/>
      <c r="PEJ341" s="82"/>
      <c r="PEK341" s="82"/>
      <c r="PEL341" s="82"/>
      <c r="PEM341" s="82"/>
      <c r="PEN341" s="83"/>
      <c r="PEO341" s="98"/>
      <c r="PEP341" s="85"/>
      <c r="PEQ341" s="82"/>
      <c r="PER341" s="82"/>
      <c r="PES341" s="86"/>
      <c r="PET341" s="82"/>
      <c r="PEU341" s="82"/>
      <c r="PEV341" s="82"/>
      <c r="PEW341" s="82"/>
      <c r="PEX341" s="83"/>
      <c r="PEY341" s="98"/>
      <c r="PEZ341" s="85"/>
      <c r="PFA341" s="82"/>
      <c r="PFB341" s="82"/>
      <c r="PFC341" s="86"/>
      <c r="PFD341" s="82"/>
      <c r="PFE341" s="82"/>
      <c r="PFF341" s="82"/>
      <c r="PFG341" s="82"/>
      <c r="PFH341" s="83"/>
      <c r="PFI341" s="98"/>
      <c r="PFJ341" s="85"/>
      <c r="PFK341" s="82"/>
      <c r="PFL341" s="82"/>
      <c r="PFM341" s="86"/>
      <c r="PFN341" s="82"/>
      <c r="PFO341" s="82"/>
      <c r="PFP341" s="82"/>
      <c r="PFQ341" s="82"/>
      <c r="PFR341" s="83"/>
      <c r="PFS341" s="98"/>
      <c r="PFT341" s="85"/>
      <c r="PFU341" s="82"/>
      <c r="PFV341" s="82"/>
      <c r="PFW341" s="86"/>
      <c r="PFX341" s="82"/>
      <c r="PFY341" s="82"/>
      <c r="PFZ341" s="82"/>
      <c r="PGA341" s="82"/>
      <c r="PGB341" s="83"/>
      <c r="PGC341" s="98"/>
      <c r="PGD341" s="85"/>
      <c r="PGE341" s="82"/>
      <c r="PGF341" s="82"/>
      <c r="PGG341" s="86"/>
      <c r="PGH341" s="82"/>
      <c r="PGI341" s="82"/>
      <c r="PGJ341" s="82"/>
      <c r="PGK341" s="82"/>
      <c r="PGL341" s="83"/>
      <c r="PGM341" s="98"/>
      <c r="PGN341" s="85"/>
      <c r="PGO341" s="82"/>
      <c r="PGP341" s="82"/>
      <c r="PGQ341" s="86"/>
      <c r="PGR341" s="82"/>
      <c r="PGS341" s="82"/>
      <c r="PGT341" s="82"/>
      <c r="PGU341" s="82"/>
      <c r="PGV341" s="83"/>
      <c r="PGW341" s="98"/>
      <c r="PGX341" s="85"/>
      <c r="PGY341" s="82"/>
      <c r="PGZ341" s="82"/>
      <c r="PHA341" s="86"/>
      <c r="PHB341" s="82"/>
      <c r="PHC341" s="82"/>
      <c r="PHD341" s="82"/>
      <c r="PHE341" s="82"/>
      <c r="PHF341" s="83"/>
      <c r="PHG341" s="98"/>
      <c r="PHH341" s="85"/>
      <c r="PHI341" s="82"/>
      <c r="PHJ341" s="82"/>
      <c r="PHK341" s="86"/>
      <c r="PHL341" s="82"/>
      <c r="PHM341" s="82"/>
      <c r="PHN341" s="82"/>
      <c r="PHO341" s="82"/>
      <c r="PHP341" s="83"/>
      <c r="PHQ341" s="98"/>
      <c r="PHR341" s="85"/>
      <c r="PHS341" s="82"/>
      <c r="PHT341" s="82"/>
      <c r="PHU341" s="86"/>
      <c r="PHV341" s="82"/>
      <c r="PHW341" s="82"/>
      <c r="PHX341" s="82"/>
      <c r="PHY341" s="82"/>
      <c r="PHZ341" s="83"/>
      <c r="PIA341" s="98"/>
      <c r="PIB341" s="85"/>
      <c r="PIC341" s="82"/>
      <c r="PID341" s="82"/>
      <c r="PIE341" s="86"/>
      <c r="PIF341" s="82"/>
      <c r="PIG341" s="82"/>
      <c r="PIH341" s="82"/>
      <c r="PII341" s="82"/>
      <c r="PIJ341" s="83"/>
      <c r="PIK341" s="98"/>
      <c r="PIL341" s="85"/>
      <c r="PIM341" s="82"/>
      <c r="PIN341" s="82"/>
      <c r="PIO341" s="86"/>
      <c r="PIP341" s="82"/>
      <c r="PIQ341" s="82"/>
      <c r="PIR341" s="82"/>
      <c r="PIS341" s="82"/>
      <c r="PIT341" s="83"/>
      <c r="PIU341" s="98"/>
      <c r="PIV341" s="85"/>
      <c r="PIW341" s="82"/>
      <c r="PIX341" s="82"/>
      <c r="PIY341" s="86"/>
      <c r="PIZ341" s="82"/>
      <c r="PJA341" s="82"/>
      <c r="PJB341" s="82"/>
      <c r="PJC341" s="82"/>
      <c r="PJD341" s="83"/>
      <c r="PJE341" s="98"/>
      <c r="PJF341" s="85"/>
      <c r="PJG341" s="82"/>
      <c r="PJH341" s="82"/>
      <c r="PJI341" s="86"/>
      <c r="PJJ341" s="82"/>
      <c r="PJK341" s="82"/>
      <c r="PJL341" s="82"/>
      <c r="PJM341" s="82"/>
      <c r="PJN341" s="83"/>
      <c r="PJO341" s="98"/>
      <c r="PJP341" s="85"/>
      <c r="PJQ341" s="82"/>
      <c r="PJR341" s="82"/>
      <c r="PJS341" s="86"/>
      <c r="PJT341" s="82"/>
      <c r="PJU341" s="82"/>
      <c r="PJV341" s="82"/>
      <c r="PJW341" s="82"/>
      <c r="PJX341" s="83"/>
      <c r="PJY341" s="98"/>
      <c r="PJZ341" s="85"/>
      <c r="PKA341" s="82"/>
      <c r="PKB341" s="82"/>
      <c r="PKC341" s="86"/>
      <c r="PKD341" s="82"/>
      <c r="PKE341" s="82"/>
      <c r="PKF341" s="82"/>
      <c r="PKG341" s="82"/>
      <c r="PKH341" s="83"/>
      <c r="PKI341" s="98"/>
      <c r="PKJ341" s="85"/>
      <c r="PKK341" s="82"/>
      <c r="PKL341" s="82"/>
      <c r="PKM341" s="86"/>
      <c r="PKN341" s="82"/>
      <c r="PKO341" s="82"/>
      <c r="PKP341" s="82"/>
      <c r="PKQ341" s="82"/>
      <c r="PKR341" s="83"/>
      <c r="PKS341" s="98"/>
      <c r="PKT341" s="85"/>
      <c r="PKU341" s="82"/>
      <c r="PKV341" s="82"/>
      <c r="PKW341" s="86"/>
      <c r="PKX341" s="82"/>
      <c r="PKY341" s="82"/>
      <c r="PKZ341" s="82"/>
      <c r="PLA341" s="82"/>
      <c r="PLB341" s="83"/>
      <c r="PLC341" s="98"/>
      <c r="PLD341" s="85"/>
      <c r="PLE341" s="82"/>
      <c r="PLF341" s="82"/>
      <c r="PLG341" s="86"/>
      <c r="PLH341" s="82"/>
      <c r="PLI341" s="82"/>
      <c r="PLJ341" s="82"/>
      <c r="PLK341" s="82"/>
      <c r="PLL341" s="83"/>
      <c r="PLM341" s="98"/>
      <c r="PLN341" s="85"/>
      <c r="PLO341" s="82"/>
      <c r="PLP341" s="82"/>
      <c r="PLQ341" s="86"/>
      <c r="PLR341" s="82"/>
      <c r="PLS341" s="82"/>
      <c r="PLT341" s="82"/>
      <c r="PLU341" s="82"/>
      <c r="PLV341" s="83"/>
      <c r="PLW341" s="98"/>
      <c r="PLX341" s="85"/>
      <c r="PLY341" s="82"/>
      <c r="PLZ341" s="82"/>
      <c r="PMA341" s="86"/>
      <c r="PMB341" s="82"/>
      <c r="PMC341" s="82"/>
      <c r="PMD341" s="82"/>
      <c r="PME341" s="82"/>
      <c r="PMF341" s="83"/>
      <c r="PMG341" s="98"/>
      <c r="PMH341" s="85"/>
      <c r="PMI341" s="82"/>
      <c r="PMJ341" s="82"/>
      <c r="PMK341" s="86"/>
      <c r="PML341" s="82"/>
      <c r="PMM341" s="82"/>
      <c r="PMN341" s="82"/>
      <c r="PMO341" s="82"/>
      <c r="PMP341" s="83"/>
      <c r="PMQ341" s="98"/>
      <c r="PMR341" s="85"/>
      <c r="PMS341" s="82"/>
      <c r="PMT341" s="82"/>
      <c r="PMU341" s="86"/>
      <c r="PMV341" s="82"/>
      <c r="PMW341" s="82"/>
      <c r="PMX341" s="82"/>
      <c r="PMY341" s="82"/>
      <c r="PMZ341" s="83"/>
      <c r="PNA341" s="98"/>
      <c r="PNB341" s="85"/>
      <c r="PNC341" s="82"/>
      <c r="PND341" s="82"/>
      <c r="PNE341" s="86"/>
      <c r="PNF341" s="82"/>
      <c r="PNG341" s="82"/>
      <c r="PNH341" s="82"/>
      <c r="PNI341" s="82"/>
      <c r="PNJ341" s="83"/>
      <c r="PNK341" s="98"/>
      <c r="PNL341" s="85"/>
      <c r="PNM341" s="82"/>
      <c r="PNN341" s="82"/>
      <c r="PNO341" s="86"/>
      <c r="PNP341" s="82"/>
      <c r="PNQ341" s="82"/>
      <c r="PNR341" s="82"/>
      <c r="PNS341" s="82"/>
      <c r="PNT341" s="83"/>
      <c r="PNU341" s="98"/>
      <c r="PNV341" s="85"/>
      <c r="PNW341" s="82"/>
      <c r="PNX341" s="82"/>
      <c r="PNY341" s="86"/>
      <c r="PNZ341" s="82"/>
      <c r="POA341" s="82"/>
      <c r="POB341" s="82"/>
      <c r="POC341" s="82"/>
      <c r="POD341" s="83"/>
      <c r="POE341" s="98"/>
      <c r="POF341" s="85"/>
      <c r="POG341" s="82"/>
      <c r="POH341" s="82"/>
      <c r="POI341" s="86"/>
      <c r="POJ341" s="82"/>
      <c r="POK341" s="82"/>
      <c r="POL341" s="82"/>
      <c r="POM341" s="82"/>
      <c r="PON341" s="83"/>
      <c r="POO341" s="98"/>
      <c r="POP341" s="85"/>
      <c r="POQ341" s="82"/>
      <c r="POR341" s="82"/>
      <c r="POS341" s="86"/>
      <c r="POT341" s="82"/>
      <c r="POU341" s="82"/>
      <c r="POV341" s="82"/>
      <c r="POW341" s="82"/>
      <c r="POX341" s="83"/>
      <c r="POY341" s="98"/>
      <c r="POZ341" s="85"/>
      <c r="PPA341" s="82"/>
      <c r="PPB341" s="82"/>
      <c r="PPC341" s="86"/>
      <c r="PPD341" s="82"/>
      <c r="PPE341" s="82"/>
      <c r="PPF341" s="82"/>
      <c r="PPG341" s="82"/>
      <c r="PPH341" s="83"/>
      <c r="PPI341" s="98"/>
      <c r="PPJ341" s="85"/>
      <c r="PPK341" s="82"/>
      <c r="PPL341" s="82"/>
      <c r="PPM341" s="86"/>
      <c r="PPN341" s="82"/>
      <c r="PPO341" s="82"/>
      <c r="PPP341" s="82"/>
      <c r="PPQ341" s="82"/>
      <c r="PPR341" s="83"/>
      <c r="PPS341" s="98"/>
      <c r="PPT341" s="85"/>
      <c r="PPU341" s="82"/>
      <c r="PPV341" s="82"/>
      <c r="PPW341" s="86"/>
      <c r="PPX341" s="82"/>
      <c r="PPY341" s="82"/>
      <c r="PPZ341" s="82"/>
      <c r="PQA341" s="82"/>
      <c r="PQB341" s="83"/>
      <c r="PQC341" s="98"/>
      <c r="PQD341" s="85"/>
      <c r="PQE341" s="82"/>
      <c r="PQF341" s="82"/>
      <c r="PQG341" s="86"/>
      <c r="PQH341" s="82"/>
      <c r="PQI341" s="82"/>
      <c r="PQJ341" s="82"/>
      <c r="PQK341" s="82"/>
      <c r="PQL341" s="83"/>
      <c r="PQM341" s="98"/>
      <c r="PQN341" s="85"/>
      <c r="PQO341" s="82"/>
      <c r="PQP341" s="82"/>
      <c r="PQQ341" s="86"/>
      <c r="PQR341" s="82"/>
      <c r="PQS341" s="82"/>
      <c r="PQT341" s="82"/>
      <c r="PQU341" s="82"/>
      <c r="PQV341" s="83"/>
      <c r="PQW341" s="98"/>
      <c r="PQX341" s="85"/>
      <c r="PQY341" s="82"/>
      <c r="PQZ341" s="82"/>
      <c r="PRA341" s="86"/>
      <c r="PRB341" s="82"/>
      <c r="PRC341" s="82"/>
      <c r="PRD341" s="82"/>
      <c r="PRE341" s="82"/>
      <c r="PRF341" s="83"/>
      <c r="PRG341" s="98"/>
      <c r="PRH341" s="85"/>
      <c r="PRI341" s="82"/>
      <c r="PRJ341" s="82"/>
      <c r="PRK341" s="86"/>
      <c r="PRL341" s="82"/>
      <c r="PRM341" s="82"/>
      <c r="PRN341" s="82"/>
      <c r="PRO341" s="82"/>
      <c r="PRP341" s="83"/>
      <c r="PRQ341" s="98"/>
      <c r="PRR341" s="85"/>
      <c r="PRS341" s="82"/>
      <c r="PRT341" s="82"/>
      <c r="PRU341" s="86"/>
      <c r="PRV341" s="82"/>
      <c r="PRW341" s="82"/>
      <c r="PRX341" s="82"/>
      <c r="PRY341" s="82"/>
      <c r="PRZ341" s="83"/>
      <c r="PSA341" s="98"/>
      <c r="PSB341" s="85"/>
      <c r="PSC341" s="82"/>
      <c r="PSD341" s="82"/>
      <c r="PSE341" s="86"/>
      <c r="PSF341" s="82"/>
      <c r="PSG341" s="82"/>
      <c r="PSH341" s="82"/>
      <c r="PSI341" s="82"/>
      <c r="PSJ341" s="83"/>
      <c r="PSK341" s="98"/>
      <c r="PSL341" s="85"/>
      <c r="PSM341" s="82"/>
      <c r="PSN341" s="82"/>
      <c r="PSO341" s="86"/>
      <c r="PSP341" s="82"/>
      <c r="PSQ341" s="82"/>
      <c r="PSR341" s="82"/>
      <c r="PSS341" s="82"/>
      <c r="PST341" s="83"/>
      <c r="PSU341" s="98"/>
      <c r="PSV341" s="85"/>
      <c r="PSW341" s="82"/>
      <c r="PSX341" s="82"/>
      <c r="PSY341" s="86"/>
      <c r="PSZ341" s="82"/>
      <c r="PTA341" s="82"/>
      <c r="PTB341" s="82"/>
      <c r="PTC341" s="82"/>
      <c r="PTD341" s="83"/>
      <c r="PTE341" s="98"/>
      <c r="PTF341" s="85"/>
      <c r="PTG341" s="82"/>
      <c r="PTH341" s="82"/>
      <c r="PTI341" s="86"/>
      <c r="PTJ341" s="82"/>
      <c r="PTK341" s="82"/>
      <c r="PTL341" s="82"/>
      <c r="PTM341" s="82"/>
      <c r="PTN341" s="83"/>
      <c r="PTO341" s="98"/>
      <c r="PTP341" s="85"/>
      <c r="PTQ341" s="82"/>
      <c r="PTR341" s="82"/>
      <c r="PTS341" s="86"/>
      <c r="PTT341" s="82"/>
      <c r="PTU341" s="82"/>
      <c r="PTV341" s="82"/>
      <c r="PTW341" s="82"/>
      <c r="PTX341" s="83"/>
      <c r="PTY341" s="98"/>
      <c r="PTZ341" s="85"/>
      <c r="PUA341" s="82"/>
      <c r="PUB341" s="82"/>
      <c r="PUC341" s="86"/>
      <c r="PUD341" s="82"/>
      <c r="PUE341" s="82"/>
      <c r="PUF341" s="82"/>
      <c r="PUG341" s="82"/>
      <c r="PUH341" s="83"/>
      <c r="PUI341" s="98"/>
      <c r="PUJ341" s="85"/>
      <c r="PUK341" s="82"/>
      <c r="PUL341" s="82"/>
      <c r="PUM341" s="86"/>
      <c r="PUN341" s="82"/>
      <c r="PUO341" s="82"/>
      <c r="PUP341" s="82"/>
      <c r="PUQ341" s="82"/>
      <c r="PUR341" s="83"/>
      <c r="PUS341" s="98"/>
      <c r="PUT341" s="85"/>
      <c r="PUU341" s="82"/>
      <c r="PUV341" s="82"/>
      <c r="PUW341" s="86"/>
      <c r="PUX341" s="82"/>
      <c r="PUY341" s="82"/>
      <c r="PUZ341" s="82"/>
      <c r="PVA341" s="82"/>
      <c r="PVB341" s="83"/>
      <c r="PVC341" s="98"/>
      <c r="PVD341" s="85"/>
      <c r="PVE341" s="82"/>
      <c r="PVF341" s="82"/>
      <c r="PVG341" s="86"/>
      <c r="PVH341" s="82"/>
      <c r="PVI341" s="82"/>
      <c r="PVJ341" s="82"/>
      <c r="PVK341" s="82"/>
      <c r="PVL341" s="83"/>
      <c r="PVM341" s="98"/>
      <c r="PVN341" s="85"/>
      <c r="PVO341" s="82"/>
      <c r="PVP341" s="82"/>
      <c r="PVQ341" s="86"/>
      <c r="PVR341" s="82"/>
      <c r="PVS341" s="82"/>
      <c r="PVT341" s="82"/>
      <c r="PVU341" s="82"/>
      <c r="PVV341" s="83"/>
      <c r="PVW341" s="98"/>
      <c r="PVX341" s="85"/>
      <c r="PVY341" s="82"/>
      <c r="PVZ341" s="82"/>
      <c r="PWA341" s="86"/>
      <c r="PWB341" s="82"/>
      <c r="PWC341" s="82"/>
      <c r="PWD341" s="82"/>
      <c r="PWE341" s="82"/>
      <c r="PWF341" s="83"/>
      <c r="PWG341" s="98"/>
      <c r="PWH341" s="85"/>
      <c r="PWI341" s="82"/>
      <c r="PWJ341" s="82"/>
      <c r="PWK341" s="86"/>
      <c r="PWL341" s="82"/>
      <c r="PWM341" s="82"/>
      <c r="PWN341" s="82"/>
      <c r="PWO341" s="82"/>
      <c r="PWP341" s="83"/>
      <c r="PWQ341" s="98"/>
      <c r="PWR341" s="85"/>
      <c r="PWS341" s="82"/>
      <c r="PWT341" s="82"/>
      <c r="PWU341" s="86"/>
      <c r="PWV341" s="82"/>
      <c r="PWW341" s="82"/>
      <c r="PWX341" s="82"/>
      <c r="PWY341" s="82"/>
      <c r="PWZ341" s="83"/>
      <c r="PXA341" s="98"/>
      <c r="PXB341" s="85"/>
      <c r="PXC341" s="82"/>
      <c r="PXD341" s="82"/>
      <c r="PXE341" s="86"/>
      <c r="PXF341" s="82"/>
      <c r="PXG341" s="82"/>
      <c r="PXH341" s="82"/>
      <c r="PXI341" s="82"/>
      <c r="PXJ341" s="83"/>
      <c r="PXK341" s="98"/>
      <c r="PXL341" s="85"/>
      <c r="PXM341" s="82"/>
      <c r="PXN341" s="82"/>
      <c r="PXO341" s="86"/>
      <c r="PXP341" s="82"/>
      <c r="PXQ341" s="82"/>
      <c r="PXR341" s="82"/>
      <c r="PXS341" s="82"/>
      <c r="PXT341" s="83"/>
      <c r="PXU341" s="98"/>
      <c r="PXV341" s="85"/>
      <c r="PXW341" s="82"/>
      <c r="PXX341" s="82"/>
      <c r="PXY341" s="86"/>
      <c r="PXZ341" s="82"/>
      <c r="PYA341" s="82"/>
      <c r="PYB341" s="82"/>
      <c r="PYC341" s="82"/>
      <c r="PYD341" s="83"/>
      <c r="PYE341" s="98"/>
      <c r="PYF341" s="85"/>
      <c r="PYG341" s="82"/>
      <c r="PYH341" s="82"/>
      <c r="PYI341" s="86"/>
      <c r="PYJ341" s="82"/>
      <c r="PYK341" s="82"/>
      <c r="PYL341" s="82"/>
      <c r="PYM341" s="82"/>
      <c r="PYN341" s="83"/>
      <c r="PYO341" s="98"/>
      <c r="PYP341" s="85"/>
      <c r="PYQ341" s="82"/>
      <c r="PYR341" s="82"/>
      <c r="PYS341" s="86"/>
      <c r="PYT341" s="82"/>
      <c r="PYU341" s="82"/>
      <c r="PYV341" s="82"/>
      <c r="PYW341" s="82"/>
      <c r="PYX341" s="83"/>
      <c r="PYY341" s="98"/>
      <c r="PYZ341" s="85"/>
      <c r="PZA341" s="82"/>
      <c r="PZB341" s="82"/>
      <c r="PZC341" s="86"/>
      <c r="PZD341" s="82"/>
      <c r="PZE341" s="82"/>
      <c r="PZF341" s="82"/>
      <c r="PZG341" s="82"/>
      <c r="PZH341" s="83"/>
      <c r="PZI341" s="98"/>
      <c r="PZJ341" s="85"/>
      <c r="PZK341" s="82"/>
      <c r="PZL341" s="82"/>
      <c r="PZM341" s="86"/>
      <c r="PZN341" s="82"/>
      <c r="PZO341" s="82"/>
      <c r="PZP341" s="82"/>
      <c r="PZQ341" s="82"/>
      <c r="PZR341" s="83"/>
      <c r="PZS341" s="98"/>
      <c r="PZT341" s="85"/>
      <c r="PZU341" s="82"/>
      <c r="PZV341" s="82"/>
      <c r="PZW341" s="86"/>
      <c r="PZX341" s="82"/>
      <c r="PZY341" s="82"/>
      <c r="PZZ341" s="82"/>
      <c r="QAA341" s="82"/>
      <c r="QAB341" s="83"/>
      <c r="QAC341" s="98"/>
      <c r="QAD341" s="85"/>
      <c r="QAE341" s="82"/>
      <c r="QAF341" s="82"/>
      <c r="QAG341" s="86"/>
      <c r="QAH341" s="82"/>
      <c r="QAI341" s="82"/>
      <c r="QAJ341" s="82"/>
      <c r="QAK341" s="82"/>
      <c r="QAL341" s="83"/>
      <c r="QAM341" s="98"/>
      <c r="QAN341" s="85"/>
      <c r="QAO341" s="82"/>
      <c r="QAP341" s="82"/>
      <c r="QAQ341" s="86"/>
      <c r="QAR341" s="82"/>
      <c r="QAS341" s="82"/>
      <c r="QAT341" s="82"/>
      <c r="QAU341" s="82"/>
      <c r="QAV341" s="83"/>
      <c r="QAW341" s="98"/>
      <c r="QAX341" s="85"/>
      <c r="QAY341" s="82"/>
      <c r="QAZ341" s="82"/>
      <c r="QBA341" s="86"/>
      <c r="QBB341" s="82"/>
      <c r="QBC341" s="82"/>
      <c r="QBD341" s="82"/>
      <c r="QBE341" s="82"/>
      <c r="QBF341" s="83"/>
      <c r="QBG341" s="98"/>
      <c r="QBH341" s="85"/>
      <c r="QBI341" s="82"/>
      <c r="QBJ341" s="82"/>
      <c r="QBK341" s="86"/>
      <c r="QBL341" s="82"/>
      <c r="QBM341" s="82"/>
      <c r="QBN341" s="82"/>
      <c r="QBO341" s="82"/>
      <c r="QBP341" s="83"/>
      <c r="QBQ341" s="98"/>
      <c r="QBR341" s="85"/>
      <c r="QBS341" s="82"/>
      <c r="QBT341" s="82"/>
      <c r="QBU341" s="86"/>
      <c r="QBV341" s="82"/>
      <c r="QBW341" s="82"/>
      <c r="QBX341" s="82"/>
      <c r="QBY341" s="82"/>
      <c r="QBZ341" s="83"/>
      <c r="QCA341" s="98"/>
      <c r="QCB341" s="85"/>
      <c r="QCC341" s="82"/>
      <c r="QCD341" s="82"/>
      <c r="QCE341" s="86"/>
      <c r="QCF341" s="82"/>
      <c r="QCG341" s="82"/>
      <c r="QCH341" s="82"/>
      <c r="QCI341" s="82"/>
      <c r="QCJ341" s="83"/>
      <c r="QCK341" s="98"/>
      <c r="QCL341" s="85"/>
      <c r="QCM341" s="82"/>
      <c r="QCN341" s="82"/>
      <c r="QCO341" s="86"/>
      <c r="QCP341" s="82"/>
      <c r="QCQ341" s="82"/>
      <c r="QCR341" s="82"/>
      <c r="QCS341" s="82"/>
      <c r="QCT341" s="83"/>
      <c r="QCU341" s="98"/>
      <c r="QCV341" s="85"/>
      <c r="QCW341" s="82"/>
      <c r="QCX341" s="82"/>
      <c r="QCY341" s="86"/>
      <c r="QCZ341" s="82"/>
      <c r="QDA341" s="82"/>
      <c r="QDB341" s="82"/>
      <c r="QDC341" s="82"/>
      <c r="QDD341" s="83"/>
      <c r="QDE341" s="98"/>
      <c r="QDF341" s="85"/>
      <c r="QDG341" s="82"/>
      <c r="QDH341" s="82"/>
      <c r="QDI341" s="86"/>
      <c r="QDJ341" s="82"/>
      <c r="QDK341" s="82"/>
      <c r="QDL341" s="82"/>
      <c r="QDM341" s="82"/>
      <c r="QDN341" s="83"/>
      <c r="QDO341" s="98"/>
      <c r="QDP341" s="85"/>
      <c r="QDQ341" s="82"/>
      <c r="QDR341" s="82"/>
      <c r="QDS341" s="86"/>
      <c r="QDT341" s="82"/>
      <c r="QDU341" s="82"/>
      <c r="QDV341" s="82"/>
      <c r="QDW341" s="82"/>
      <c r="QDX341" s="83"/>
      <c r="QDY341" s="98"/>
      <c r="QDZ341" s="85"/>
      <c r="QEA341" s="82"/>
      <c r="QEB341" s="82"/>
      <c r="QEC341" s="86"/>
      <c r="QED341" s="82"/>
      <c r="QEE341" s="82"/>
      <c r="QEF341" s="82"/>
      <c r="QEG341" s="82"/>
      <c r="QEH341" s="83"/>
      <c r="QEI341" s="98"/>
      <c r="QEJ341" s="85"/>
      <c r="QEK341" s="82"/>
      <c r="QEL341" s="82"/>
      <c r="QEM341" s="86"/>
      <c r="QEN341" s="82"/>
      <c r="QEO341" s="82"/>
      <c r="QEP341" s="82"/>
      <c r="QEQ341" s="82"/>
      <c r="QER341" s="83"/>
      <c r="QES341" s="98"/>
      <c r="QET341" s="85"/>
      <c r="QEU341" s="82"/>
      <c r="QEV341" s="82"/>
      <c r="QEW341" s="86"/>
      <c r="QEX341" s="82"/>
      <c r="QEY341" s="82"/>
      <c r="QEZ341" s="82"/>
      <c r="QFA341" s="82"/>
      <c r="QFB341" s="83"/>
      <c r="QFC341" s="98"/>
      <c r="QFD341" s="85"/>
      <c r="QFE341" s="82"/>
      <c r="QFF341" s="82"/>
      <c r="QFG341" s="86"/>
      <c r="QFH341" s="82"/>
      <c r="QFI341" s="82"/>
      <c r="QFJ341" s="82"/>
      <c r="QFK341" s="82"/>
      <c r="QFL341" s="83"/>
      <c r="QFM341" s="98"/>
      <c r="QFN341" s="85"/>
      <c r="QFO341" s="82"/>
      <c r="QFP341" s="82"/>
      <c r="QFQ341" s="86"/>
      <c r="QFR341" s="82"/>
      <c r="QFS341" s="82"/>
      <c r="QFT341" s="82"/>
      <c r="QFU341" s="82"/>
      <c r="QFV341" s="83"/>
      <c r="QFW341" s="98"/>
      <c r="QFX341" s="85"/>
      <c r="QFY341" s="82"/>
      <c r="QFZ341" s="82"/>
      <c r="QGA341" s="86"/>
      <c r="QGB341" s="82"/>
      <c r="QGC341" s="82"/>
      <c r="QGD341" s="82"/>
      <c r="QGE341" s="82"/>
      <c r="QGF341" s="83"/>
      <c r="QGG341" s="98"/>
      <c r="QGH341" s="85"/>
      <c r="QGI341" s="82"/>
      <c r="QGJ341" s="82"/>
      <c r="QGK341" s="86"/>
      <c r="QGL341" s="82"/>
      <c r="QGM341" s="82"/>
      <c r="QGN341" s="82"/>
      <c r="QGO341" s="82"/>
      <c r="QGP341" s="83"/>
      <c r="QGQ341" s="98"/>
      <c r="QGR341" s="85"/>
      <c r="QGS341" s="82"/>
      <c r="QGT341" s="82"/>
      <c r="QGU341" s="86"/>
      <c r="QGV341" s="82"/>
      <c r="QGW341" s="82"/>
      <c r="QGX341" s="82"/>
      <c r="QGY341" s="82"/>
      <c r="QGZ341" s="83"/>
      <c r="QHA341" s="98"/>
      <c r="QHB341" s="85"/>
      <c r="QHC341" s="82"/>
      <c r="QHD341" s="82"/>
      <c r="QHE341" s="86"/>
      <c r="QHF341" s="82"/>
      <c r="QHG341" s="82"/>
      <c r="QHH341" s="82"/>
      <c r="QHI341" s="82"/>
      <c r="QHJ341" s="83"/>
      <c r="QHK341" s="98"/>
      <c r="QHL341" s="85"/>
      <c r="QHM341" s="82"/>
      <c r="QHN341" s="82"/>
      <c r="QHO341" s="86"/>
      <c r="QHP341" s="82"/>
      <c r="QHQ341" s="82"/>
      <c r="QHR341" s="82"/>
      <c r="QHS341" s="82"/>
      <c r="QHT341" s="83"/>
      <c r="QHU341" s="98"/>
      <c r="QHV341" s="85"/>
      <c r="QHW341" s="82"/>
      <c r="QHX341" s="82"/>
      <c r="QHY341" s="86"/>
      <c r="QHZ341" s="82"/>
      <c r="QIA341" s="82"/>
      <c r="QIB341" s="82"/>
      <c r="QIC341" s="82"/>
      <c r="QID341" s="83"/>
      <c r="QIE341" s="98"/>
      <c r="QIF341" s="85"/>
      <c r="QIG341" s="82"/>
      <c r="QIH341" s="82"/>
      <c r="QII341" s="86"/>
      <c r="QIJ341" s="82"/>
      <c r="QIK341" s="82"/>
      <c r="QIL341" s="82"/>
      <c r="QIM341" s="82"/>
      <c r="QIN341" s="83"/>
      <c r="QIO341" s="98"/>
      <c r="QIP341" s="85"/>
      <c r="QIQ341" s="82"/>
      <c r="QIR341" s="82"/>
      <c r="QIS341" s="86"/>
      <c r="QIT341" s="82"/>
      <c r="QIU341" s="82"/>
      <c r="QIV341" s="82"/>
      <c r="QIW341" s="82"/>
      <c r="QIX341" s="83"/>
      <c r="QIY341" s="98"/>
      <c r="QIZ341" s="85"/>
      <c r="QJA341" s="82"/>
      <c r="QJB341" s="82"/>
      <c r="QJC341" s="86"/>
      <c r="QJD341" s="82"/>
      <c r="QJE341" s="82"/>
      <c r="QJF341" s="82"/>
      <c r="QJG341" s="82"/>
      <c r="QJH341" s="83"/>
      <c r="QJI341" s="98"/>
      <c r="QJJ341" s="85"/>
      <c r="QJK341" s="82"/>
      <c r="QJL341" s="82"/>
      <c r="QJM341" s="86"/>
      <c r="QJN341" s="82"/>
      <c r="QJO341" s="82"/>
      <c r="QJP341" s="82"/>
      <c r="QJQ341" s="82"/>
      <c r="QJR341" s="83"/>
      <c r="QJS341" s="98"/>
      <c r="QJT341" s="85"/>
      <c r="QJU341" s="82"/>
      <c r="QJV341" s="82"/>
      <c r="QJW341" s="86"/>
      <c r="QJX341" s="82"/>
      <c r="QJY341" s="82"/>
      <c r="QJZ341" s="82"/>
      <c r="QKA341" s="82"/>
      <c r="QKB341" s="83"/>
      <c r="QKC341" s="98"/>
      <c r="QKD341" s="85"/>
      <c r="QKE341" s="82"/>
      <c r="QKF341" s="82"/>
      <c r="QKG341" s="86"/>
      <c r="QKH341" s="82"/>
      <c r="QKI341" s="82"/>
      <c r="QKJ341" s="82"/>
      <c r="QKK341" s="82"/>
      <c r="QKL341" s="83"/>
      <c r="QKM341" s="98"/>
      <c r="QKN341" s="85"/>
      <c r="QKO341" s="82"/>
      <c r="QKP341" s="82"/>
      <c r="QKQ341" s="86"/>
      <c r="QKR341" s="82"/>
      <c r="QKS341" s="82"/>
      <c r="QKT341" s="82"/>
      <c r="QKU341" s="82"/>
      <c r="QKV341" s="83"/>
      <c r="QKW341" s="98"/>
      <c r="QKX341" s="85"/>
      <c r="QKY341" s="82"/>
      <c r="QKZ341" s="82"/>
      <c r="QLA341" s="86"/>
      <c r="QLB341" s="82"/>
      <c r="QLC341" s="82"/>
      <c r="QLD341" s="82"/>
      <c r="QLE341" s="82"/>
      <c r="QLF341" s="83"/>
      <c r="QLG341" s="98"/>
      <c r="QLH341" s="85"/>
      <c r="QLI341" s="82"/>
      <c r="QLJ341" s="82"/>
      <c r="QLK341" s="86"/>
      <c r="QLL341" s="82"/>
      <c r="QLM341" s="82"/>
      <c r="QLN341" s="82"/>
      <c r="QLO341" s="82"/>
      <c r="QLP341" s="83"/>
      <c r="QLQ341" s="98"/>
      <c r="QLR341" s="85"/>
      <c r="QLS341" s="82"/>
      <c r="QLT341" s="82"/>
      <c r="QLU341" s="86"/>
      <c r="QLV341" s="82"/>
      <c r="QLW341" s="82"/>
      <c r="QLX341" s="82"/>
      <c r="QLY341" s="82"/>
      <c r="QLZ341" s="83"/>
      <c r="QMA341" s="98"/>
      <c r="QMB341" s="85"/>
      <c r="QMC341" s="82"/>
      <c r="QMD341" s="82"/>
      <c r="QME341" s="86"/>
      <c r="QMF341" s="82"/>
      <c r="QMG341" s="82"/>
      <c r="QMH341" s="82"/>
      <c r="QMI341" s="82"/>
      <c r="QMJ341" s="83"/>
      <c r="QMK341" s="98"/>
      <c r="QML341" s="85"/>
      <c r="QMM341" s="82"/>
      <c r="QMN341" s="82"/>
      <c r="QMO341" s="86"/>
      <c r="QMP341" s="82"/>
      <c r="QMQ341" s="82"/>
      <c r="QMR341" s="82"/>
      <c r="QMS341" s="82"/>
      <c r="QMT341" s="83"/>
      <c r="QMU341" s="98"/>
      <c r="QMV341" s="85"/>
      <c r="QMW341" s="82"/>
      <c r="QMX341" s="82"/>
      <c r="QMY341" s="86"/>
      <c r="QMZ341" s="82"/>
      <c r="QNA341" s="82"/>
      <c r="QNB341" s="82"/>
      <c r="QNC341" s="82"/>
      <c r="QND341" s="83"/>
      <c r="QNE341" s="98"/>
      <c r="QNF341" s="85"/>
      <c r="QNG341" s="82"/>
      <c r="QNH341" s="82"/>
      <c r="QNI341" s="86"/>
      <c r="QNJ341" s="82"/>
      <c r="QNK341" s="82"/>
      <c r="QNL341" s="82"/>
      <c r="QNM341" s="82"/>
      <c r="QNN341" s="83"/>
      <c r="QNO341" s="98"/>
      <c r="QNP341" s="85"/>
      <c r="QNQ341" s="82"/>
      <c r="QNR341" s="82"/>
      <c r="QNS341" s="86"/>
      <c r="QNT341" s="82"/>
      <c r="QNU341" s="82"/>
      <c r="QNV341" s="82"/>
      <c r="QNW341" s="82"/>
      <c r="QNX341" s="83"/>
      <c r="QNY341" s="98"/>
      <c r="QNZ341" s="85"/>
      <c r="QOA341" s="82"/>
      <c r="QOB341" s="82"/>
      <c r="QOC341" s="86"/>
      <c r="QOD341" s="82"/>
      <c r="QOE341" s="82"/>
      <c r="QOF341" s="82"/>
      <c r="QOG341" s="82"/>
      <c r="QOH341" s="83"/>
      <c r="QOI341" s="98"/>
      <c r="QOJ341" s="85"/>
      <c r="QOK341" s="82"/>
      <c r="QOL341" s="82"/>
      <c r="QOM341" s="86"/>
      <c r="QON341" s="82"/>
      <c r="QOO341" s="82"/>
      <c r="QOP341" s="82"/>
      <c r="QOQ341" s="82"/>
      <c r="QOR341" s="83"/>
      <c r="QOS341" s="98"/>
      <c r="QOT341" s="85"/>
      <c r="QOU341" s="82"/>
      <c r="QOV341" s="82"/>
      <c r="QOW341" s="86"/>
      <c r="QOX341" s="82"/>
      <c r="QOY341" s="82"/>
      <c r="QOZ341" s="82"/>
      <c r="QPA341" s="82"/>
      <c r="QPB341" s="83"/>
      <c r="QPC341" s="98"/>
      <c r="QPD341" s="85"/>
      <c r="QPE341" s="82"/>
      <c r="QPF341" s="82"/>
      <c r="QPG341" s="86"/>
      <c r="QPH341" s="82"/>
      <c r="QPI341" s="82"/>
      <c r="QPJ341" s="82"/>
      <c r="QPK341" s="82"/>
      <c r="QPL341" s="83"/>
      <c r="QPM341" s="98"/>
      <c r="QPN341" s="85"/>
      <c r="QPO341" s="82"/>
      <c r="QPP341" s="82"/>
      <c r="QPQ341" s="86"/>
      <c r="QPR341" s="82"/>
      <c r="QPS341" s="82"/>
      <c r="QPT341" s="82"/>
      <c r="QPU341" s="82"/>
      <c r="QPV341" s="83"/>
      <c r="QPW341" s="98"/>
      <c r="QPX341" s="85"/>
      <c r="QPY341" s="82"/>
      <c r="QPZ341" s="82"/>
      <c r="QQA341" s="86"/>
      <c r="QQB341" s="82"/>
      <c r="QQC341" s="82"/>
      <c r="QQD341" s="82"/>
      <c r="QQE341" s="82"/>
      <c r="QQF341" s="83"/>
      <c r="QQG341" s="98"/>
      <c r="QQH341" s="85"/>
      <c r="QQI341" s="82"/>
      <c r="QQJ341" s="82"/>
      <c r="QQK341" s="86"/>
      <c r="QQL341" s="82"/>
      <c r="QQM341" s="82"/>
      <c r="QQN341" s="82"/>
      <c r="QQO341" s="82"/>
      <c r="QQP341" s="83"/>
      <c r="QQQ341" s="98"/>
      <c r="QQR341" s="85"/>
      <c r="QQS341" s="82"/>
      <c r="QQT341" s="82"/>
      <c r="QQU341" s="86"/>
      <c r="QQV341" s="82"/>
      <c r="QQW341" s="82"/>
      <c r="QQX341" s="82"/>
      <c r="QQY341" s="82"/>
      <c r="QQZ341" s="83"/>
      <c r="QRA341" s="98"/>
      <c r="QRB341" s="85"/>
      <c r="QRC341" s="82"/>
      <c r="QRD341" s="82"/>
      <c r="QRE341" s="86"/>
      <c r="QRF341" s="82"/>
      <c r="QRG341" s="82"/>
      <c r="QRH341" s="82"/>
      <c r="QRI341" s="82"/>
      <c r="QRJ341" s="83"/>
      <c r="QRK341" s="98"/>
      <c r="QRL341" s="85"/>
      <c r="QRM341" s="82"/>
      <c r="QRN341" s="82"/>
      <c r="QRO341" s="86"/>
      <c r="QRP341" s="82"/>
      <c r="QRQ341" s="82"/>
      <c r="QRR341" s="82"/>
      <c r="QRS341" s="82"/>
      <c r="QRT341" s="83"/>
      <c r="QRU341" s="98"/>
      <c r="QRV341" s="85"/>
      <c r="QRW341" s="82"/>
      <c r="QRX341" s="82"/>
      <c r="QRY341" s="86"/>
      <c r="QRZ341" s="82"/>
      <c r="QSA341" s="82"/>
      <c r="QSB341" s="82"/>
      <c r="QSC341" s="82"/>
      <c r="QSD341" s="83"/>
      <c r="QSE341" s="98"/>
      <c r="QSF341" s="85"/>
      <c r="QSG341" s="82"/>
      <c r="QSH341" s="82"/>
      <c r="QSI341" s="86"/>
      <c r="QSJ341" s="82"/>
      <c r="QSK341" s="82"/>
      <c r="QSL341" s="82"/>
      <c r="QSM341" s="82"/>
      <c r="QSN341" s="83"/>
      <c r="QSO341" s="98"/>
      <c r="QSP341" s="85"/>
      <c r="QSQ341" s="82"/>
      <c r="QSR341" s="82"/>
      <c r="QSS341" s="86"/>
      <c r="QST341" s="82"/>
      <c r="QSU341" s="82"/>
      <c r="QSV341" s="82"/>
      <c r="QSW341" s="82"/>
      <c r="QSX341" s="83"/>
      <c r="QSY341" s="98"/>
      <c r="QSZ341" s="85"/>
      <c r="QTA341" s="82"/>
      <c r="QTB341" s="82"/>
      <c r="QTC341" s="86"/>
      <c r="QTD341" s="82"/>
      <c r="QTE341" s="82"/>
      <c r="QTF341" s="82"/>
      <c r="QTG341" s="82"/>
      <c r="QTH341" s="83"/>
      <c r="QTI341" s="98"/>
      <c r="QTJ341" s="85"/>
      <c r="QTK341" s="82"/>
      <c r="QTL341" s="82"/>
      <c r="QTM341" s="86"/>
      <c r="QTN341" s="82"/>
      <c r="QTO341" s="82"/>
      <c r="QTP341" s="82"/>
      <c r="QTQ341" s="82"/>
      <c r="QTR341" s="83"/>
      <c r="QTS341" s="98"/>
      <c r="QTT341" s="85"/>
      <c r="QTU341" s="82"/>
      <c r="QTV341" s="82"/>
      <c r="QTW341" s="86"/>
      <c r="QTX341" s="82"/>
      <c r="QTY341" s="82"/>
      <c r="QTZ341" s="82"/>
      <c r="QUA341" s="82"/>
      <c r="QUB341" s="83"/>
      <c r="QUC341" s="98"/>
      <c r="QUD341" s="85"/>
      <c r="QUE341" s="82"/>
      <c r="QUF341" s="82"/>
      <c r="QUG341" s="86"/>
      <c r="QUH341" s="82"/>
      <c r="QUI341" s="82"/>
      <c r="QUJ341" s="82"/>
      <c r="QUK341" s="82"/>
      <c r="QUL341" s="83"/>
      <c r="QUM341" s="98"/>
      <c r="QUN341" s="85"/>
      <c r="QUO341" s="82"/>
      <c r="QUP341" s="82"/>
      <c r="QUQ341" s="86"/>
      <c r="QUR341" s="82"/>
      <c r="QUS341" s="82"/>
      <c r="QUT341" s="82"/>
      <c r="QUU341" s="82"/>
      <c r="QUV341" s="83"/>
      <c r="QUW341" s="98"/>
      <c r="QUX341" s="85"/>
      <c r="QUY341" s="82"/>
      <c r="QUZ341" s="82"/>
      <c r="QVA341" s="86"/>
      <c r="QVB341" s="82"/>
      <c r="QVC341" s="82"/>
      <c r="QVD341" s="82"/>
      <c r="QVE341" s="82"/>
      <c r="QVF341" s="83"/>
      <c r="QVG341" s="98"/>
      <c r="QVH341" s="85"/>
      <c r="QVI341" s="82"/>
      <c r="QVJ341" s="82"/>
      <c r="QVK341" s="86"/>
      <c r="QVL341" s="82"/>
      <c r="QVM341" s="82"/>
      <c r="QVN341" s="82"/>
      <c r="QVO341" s="82"/>
      <c r="QVP341" s="83"/>
      <c r="QVQ341" s="98"/>
      <c r="QVR341" s="85"/>
      <c r="QVS341" s="82"/>
      <c r="QVT341" s="82"/>
      <c r="QVU341" s="86"/>
      <c r="QVV341" s="82"/>
      <c r="QVW341" s="82"/>
      <c r="QVX341" s="82"/>
      <c r="QVY341" s="82"/>
      <c r="QVZ341" s="83"/>
      <c r="QWA341" s="98"/>
      <c r="QWB341" s="85"/>
      <c r="QWC341" s="82"/>
      <c r="QWD341" s="82"/>
      <c r="QWE341" s="86"/>
      <c r="QWF341" s="82"/>
      <c r="QWG341" s="82"/>
      <c r="QWH341" s="82"/>
      <c r="QWI341" s="82"/>
      <c r="QWJ341" s="83"/>
      <c r="QWK341" s="98"/>
      <c r="QWL341" s="85"/>
      <c r="QWM341" s="82"/>
      <c r="QWN341" s="82"/>
      <c r="QWO341" s="86"/>
      <c r="QWP341" s="82"/>
      <c r="QWQ341" s="82"/>
      <c r="QWR341" s="82"/>
      <c r="QWS341" s="82"/>
      <c r="QWT341" s="83"/>
      <c r="QWU341" s="98"/>
      <c r="QWV341" s="85"/>
      <c r="QWW341" s="82"/>
      <c r="QWX341" s="82"/>
      <c r="QWY341" s="86"/>
      <c r="QWZ341" s="82"/>
      <c r="QXA341" s="82"/>
      <c r="QXB341" s="82"/>
      <c r="QXC341" s="82"/>
      <c r="QXD341" s="83"/>
      <c r="QXE341" s="98"/>
      <c r="QXF341" s="85"/>
      <c r="QXG341" s="82"/>
      <c r="QXH341" s="82"/>
      <c r="QXI341" s="86"/>
      <c r="QXJ341" s="82"/>
      <c r="QXK341" s="82"/>
      <c r="QXL341" s="82"/>
      <c r="QXM341" s="82"/>
      <c r="QXN341" s="83"/>
      <c r="QXO341" s="98"/>
      <c r="QXP341" s="85"/>
      <c r="QXQ341" s="82"/>
      <c r="QXR341" s="82"/>
      <c r="QXS341" s="86"/>
      <c r="QXT341" s="82"/>
      <c r="QXU341" s="82"/>
      <c r="QXV341" s="82"/>
      <c r="QXW341" s="82"/>
      <c r="QXX341" s="83"/>
      <c r="QXY341" s="98"/>
      <c r="QXZ341" s="85"/>
      <c r="QYA341" s="82"/>
      <c r="QYB341" s="82"/>
      <c r="QYC341" s="86"/>
      <c r="QYD341" s="82"/>
      <c r="QYE341" s="82"/>
      <c r="QYF341" s="82"/>
      <c r="QYG341" s="82"/>
      <c r="QYH341" s="83"/>
      <c r="QYI341" s="98"/>
      <c r="QYJ341" s="85"/>
      <c r="QYK341" s="82"/>
      <c r="QYL341" s="82"/>
      <c r="QYM341" s="86"/>
      <c r="QYN341" s="82"/>
      <c r="QYO341" s="82"/>
      <c r="QYP341" s="82"/>
      <c r="QYQ341" s="82"/>
      <c r="QYR341" s="83"/>
      <c r="QYS341" s="98"/>
      <c r="QYT341" s="85"/>
      <c r="QYU341" s="82"/>
      <c r="QYV341" s="82"/>
      <c r="QYW341" s="86"/>
      <c r="QYX341" s="82"/>
      <c r="QYY341" s="82"/>
      <c r="QYZ341" s="82"/>
      <c r="QZA341" s="82"/>
      <c r="QZB341" s="83"/>
      <c r="QZC341" s="98"/>
      <c r="QZD341" s="85"/>
      <c r="QZE341" s="82"/>
      <c r="QZF341" s="82"/>
      <c r="QZG341" s="86"/>
      <c r="QZH341" s="82"/>
      <c r="QZI341" s="82"/>
      <c r="QZJ341" s="82"/>
      <c r="QZK341" s="82"/>
      <c r="QZL341" s="83"/>
      <c r="QZM341" s="98"/>
      <c r="QZN341" s="85"/>
      <c r="QZO341" s="82"/>
      <c r="QZP341" s="82"/>
      <c r="QZQ341" s="86"/>
      <c r="QZR341" s="82"/>
      <c r="QZS341" s="82"/>
      <c r="QZT341" s="82"/>
      <c r="QZU341" s="82"/>
      <c r="QZV341" s="83"/>
      <c r="QZW341" s="98"/>
      <c r="QZX341" s="85"/>
      <c r="QZY341" s="82"/>
      <c r="QZZ341" s="82"/>
      <c r="RAA341" s="86"/>
      <c r="RAB341" s="82"/>
      <c r="RAC341" s="82"/>
      <c r="RAD341" s="82"/>
      <c r="RAE341" s="82"/>
      <c r="RAF341" s="83"/>
      <c r="RAG341" s="98"/>
      <c r="RAH341" s="85"/>
      <c r="RAI341" s="82"/>
      <c r="RAJ341" s="82"/>
      <c r="RAK341" s="86"/>
      <c r="RAL341" s="82"/>
      <c r="RAM341" s="82"/>
      <c r="RAN341" s="82"/>
      <c r="RAO341" s="82"/>
      <c r="RAP341" s="83"/>
      <c r="RAQ341" s="98"/>
      <c r="RAR341" s="85"/>
      <c r="RAS341" s="82"/>
      <c r="RAT341" s="82"/>
      <c r="RAU341" s="86"/>
      <c r="RAV341" s="82"/>
      <c r="RAW341" s="82"/>
      <c r="RAX341" s="82"/>
      <c r="RAY341" s="82"/>
      <c r="RAZ341" s="83"/>
      <c r="RBA341" s="98"/>
      <c r="RBB341" s="85"/>
      <c r="RBC341" s="82"/>
      <c r="RBD341" s="82"/>
      <c r="RBE341" s="86"/>
      <c r="RBF341" s="82"/>
      <c r="RBG341" s="82"/>
      <c r="RBH341" s="82"/>
      <c r="RBI341" s="82"/>
      <c r="RBJ341" s="83"/>
      <c r="RBK341" s="98"/>
      <c r="RBL341" s="85"/>
      <c r="RBM341" s="82"/>
      <c r="RBN341" s="82"/>
      <c r="RBO341" s="86"/>
      <c r="RBP341" s="82"/>
      <c r="RBQ341" s="82"/>
      <c r="RBR341" s="82"/>
      <c r="RBS341" s="82"/>
      <c r="RBT341" s="83"/>
      <c r="RBU341" s="98"/>
      <c r="RBV341" s="85"/>
      <c r="RBW341" s="82"/>
      <c r="RBX341" s="82"/>
      <c r="RBY341" s="86"/>
      <c r="RBZ341" s="82"/>
      <c r="RCA341" s="82"/>
      <c r="RCB341" s="82"/>
      <c r="RCC341" s="82"/>
      <c r="RCD341" s="83"/>
      <c r="RCE341" s="98"/>
      <c r="RCF341" s="85"/>
      <c r="RCG341" s="82"/>
      <c r="RCH341" s="82"/>
      <c r="RCI341" s="86"/>
      <c r="RCJ341" s="82"/>
      <c r="RCK341" s="82"/>
      <c r="RCL341" s="82"/>
      <c r="RCM341" s="82"/>
      <c r="RCN341" s="83"/>
      <c r="RCO341" s="98"/>
      <c r="RCP341" s="85"/>
      <c r="RCQ341" s="82"/>
      <c r="RCR341" s="82"/>
      <c r="RCS341" s="86"/>
      <c r="RCT341" s="82"/>
      <c r="RCU341" s="82"/>
      <c r="RCV341" s="82"/>
      <c r="RCW341" s="82"/>
      <c r="RCX341" s="83"/>
      <c r="RCY341" s="98"/>
      <c r="RCZ341" s="85"/>
      <c r="RDA341" s="82"/>
      <c r="RDB341" s="82"/>
      <c r="RDC341" s="86"/>
      <c r="RDD341" s="82"/>
      <c r="RDE341" s="82"/>
      <c r="RDF341" s="82"/>
      <c r="RDG341" s="82"/>
      <c r="RDH341" s="83"/>
      <c r="RDI341" s="98"/>
      <c r="RDJ341" s="85"/>
      <c r="RDK341" s="82"/>
      <c r="RDL341" s="82"/>
      <c r="RDM341" s="86"/>
      <c r="RDN341" s="82"/>
      <c r="RDO341" s="82"/>
      <c r="RDP341" s="82"/>
      <c r="RDQ341" s="82"/>
      <c r="RDR341" s="83"/>
      <c r="RDS341" s="98"/>
      <c r="RDT341" s="85"/>
      <c r="RDU341" s="82"/>
      <c r="RDV341" s="82"/>
      <c r="RDW341" s="86"/>
      <c r="RDX341" s="82"/>
      <c r="RDY341" s="82"/>
      <c r="RDZ341" s="82"/>
      <c r="REA341" s="82"/>
      <c r="REB341" s="83"/>
      <c r="REC341" s="98"/>
      <c r="RED341" s="85"/>
      <c r="REE341" s="82"/>
      <c r="REF341" s="82"/>
      <c r="REG341" s="86"/>
      <c r="REH341" s="82"/>
      <c r="REI341" s="82"/>
      <c r="REJ341" s="82"/>
      <c r="REK341" s="82"/>
      <c r="REL341" s="83"/>
      <c r="REM341" s="98"/>
      <c r="REN341" s="85"/>
      <c r="REO341" s="82"/>
      <c r="REP341" s="82"/>
      <c r="REQ341" s="86"/>
      <c r="RER341" s="82"/>
      <c r="RES341" s="82"/>
      <c r="RET341" s="82"/>
      <c r="REU341" s="82"/>
      <c r="REV341" s="83"/>
      <c r="REW341" s="98"/>
      <c r="REX341" s="85"/>
      <c r="REY341" s="82"/>
      <c r="REZ341" s="82"/>
      <c r="RFA341" s="86"/>
      <c r="RFB341" s="82"/>
      <c r="RFC341" s="82"/>
      <c r="RFD341" s="82"/>
      <c r="RFE341" s="82"/>
      <c r="RFF341" s="83"/>
      <c r="RFG341" s="98"/>
      <c r="RFH341" s="85"/>
      <c r="RFI341" s="82"/>
      <c r="RFJ341" s="82"/>
      <c r="RFK341" s="86"/>
      <c r="RFL341" s="82"/>
      <c r="RFM341" s="82"/>
      <c r="RFN341" s="82"/>
      <c r="RFO341" s="82"/>
      <c r="RFP341" s="83"/>
      <c r="RFQ341" s="98"/>
      <c r="RFR341" s="85"/>
      <c r="RFS341" s="82"/>
      <c r="RFT341" s="82"/>
      <c r="RFU341" s="86"/>
      <c r="RFV341" s="82"/>
      <c r="RFW341" s="82"/>
      <c r="RFX341" s="82"/>
      <c r="RFY341" s="82"/>
      <c r="RFZ341" s="83"/>
      <c r="RGA341" s="98"/>
      <c r="RGB341" s="85"/>
      <c r="RGC341" s="82"/>
      <c r="RGD341" s="82"/>
      <c r="RGE341" s="86"/>
      <c r="RGF341" s="82"/>
      <c r="RGG341" s="82"/>
      <c r="RGH341" s="82"/>
      <c r="RGI341" s="82"/>
      <c r="RGJ341" s="83"/>
      <c r="RGK341" s="98"/>
      <c r="RGL341" s="85"/>
      <c r="RGM341" s="82"/>
      <c r="RGN341" s="82"/>
      <c r="RGO341" s="86"/>
      <c r="RGP341" s="82"/>
      <c r="RGQ341" s="82"/>
      <c r="RGR341" s="82"/>
      <c r="RGS341" s="82"/>
      <c r="RGT341" s="83"/>
      <c r="RGU341" s="98"/>
      <c r="RGV341" s="85"/>
      <c r="RGW341" s="82"/>
      <c r="RGX341" s="82"/>
      <c r="RGY341" s="86"/>
      <c r="RGZ341" s="82"/>
      <c r="RHA341" s="82"/>
      <c r="RHB341" s="82"/>
      <c r="RHC341" s="82"/>
      <c r="RHD341" s="83"/>
      <c r="RHE341" s="98"/>
      <c r="RHF341" s="85"/>
      <c r="RHG341" s="82"/>
      <c r="RHH341" s="82"/>
      <c r="RHI341" s="86"/>
      <c r="RHJ341" s="82"/>
      <c r="RHK341" s="82"/>
      <c r="RHL341" s="82"/>
      <c r="RHM341" s="82"/>
      <c r="RHN341" s="83"/>
      <c r="RHO341" s="98"/>
      <c r="RHP341" s="85"/>
      <c r="RHQ341" s="82"/>
      <c r="RHR341" s="82"/>
      <c r="RHS341" s="86"/>
      <c r="RHT341" s="82"/>
      <c r="RHU341" s="82"/>
      <c r="RHV341" s="82"/>
      <c r="RHW341" s="82"/>
      <c r="RHX341" s="83"/>
      <c r="RHY341" s="98"/>
      <c r="RHZ341" s="85"/>
      <c r="RIA341" s="82"/>
      <c r="RIB341" s="82"/>
      <c r="RIC341" s="86"/>
      <c r="RID341" s="82"/>
      <c r="RIE341" s="82"/>
      <c r="RIF341" s="82"/>
      <c r="RIG341" s="82"/>
      <c r="RIH341" s="83"/>
      <c r="RII341" s="98"/>
      <c r="RIJ341" s="85"/>
      <c r="RIK341" s="82"/>
      <c r="RIL341" s="82"/>
      <c r="RIM341" s="86"/>
      <c r="RIN341" s="82"/>
      <c r="RIO341" s="82"/>
      <c r="RIP341" s="82"/>
      <c r="RIQ341" s="82"/>
      <c r="RIR341" s="83"/>
      <c r="RIS341" s="98"/>
      <c r="RIT341" s="85"/>
      <c r="RIU341" s="82"/>
      <c r="RIV341" s="82"/>
      <c r="RIW341" s="86"/>
      <c r="RIX341" s="82"/>
      <c r="RIY341" s="82"/>
      <c r="RIZ341" s="82"/>
      <c r="RJA341" s="82"/>
      <c r="RJB341" s="83"/>
      <c r="RJC341" s="98"/>
      <c r="RJD341" s="85"/>
      <c r="RJE341" s="82"/>
      <c r="RJF341" s="82"/>
      <c r="RJG341" s="86"/>
      <c r="RJH341" s="82"/>
      <c r="RJI341" s="82"/>
      <c r="RJJ341" s="82"/>
      <c r="RJK341" s="82"/>
      <c r="RJL341" s="83"/>
      <c r="RJM341" s="98"/>
      <c r="RJN341" s="85"/>
      <c r="RJO341" s="82"/>
      <c r="RJP341" s="82"/>
      <c r="RJQ341" s="86"/>
      <c r="RJR341" s="82"/>
      <c r="RJS341" s="82"/>
      <c r="RJT341" s="82"/>
      <c r="RJU341" s="82"/>
      <c r="RJV341" s="83"/>
      <c r="RJW341" s="98"/>
      <c r="RJX341" s="85"/>
      <c r="RJY341" s="82"/>
      <c r="RJZ341" s="82"/>
      <c r="RKA341" s="86"/>
      <c r="RKB341" s="82"/>
      <c r="RKC341" s="82"/>
      <c r="RKD341" s="82"/>
      <c r="RKE341" s="82"/>
      <c r="RKF341" s="83"/>
      <c r="RKG341" s="98"/>
      <c r="RKH341" s="85"/>
      <c r="RKI341" s="82"/>
      <c r="RKJ341" s="82"/>
      <c r="RKK341" s="86"/>
      <c r="RKL341" s="82"/>
      <c r="RKM341" s="82"/>
      <c r="RKN341" s="82"/>
      <c r="RKO341" s="82"/>
      <c r="RKP341" s="83"/>
      <c r="RKQ341" s="98"/>
      <c r="RKR341" s="85"/>
      <c r="RKS341" s="82"/>
      <c r="RKT341" s="82"/>
      <c r="RKU341" s="86"/>
      <c r="RKV341" s="82"/>
      <c r="RKW341" s="82"/>
      <c r="RKX341" s="82"/>
      <c r="RKY341" s="82"/>
      <c r="RKZ341" s="83"/>
      <c r="RLA341" s="98"/>
      <c r="RLB341" s="85"/>
      <c r="RLC341" s="82"/>
      <c r="RLD341" s="82"/>
      <c r="RLE341" s="86"/>
      <c r="RLF341" s="82"/>
      <c r="RLG341" s="82"/>
      <c r="RLH341" s="82"/>
      <c r="RLI341" s="82"/>
      <c r="RLJ341" s="83"/>
      <c r="RLK341" s="98"/>
      <c r="RLL341" s="85"/>
      <c r="RLM341" s="82"/>
      <c r="RLN341" s="82"/>
      <c r="RLO341" s="86"/>
      <c r="RLP341" s="82"/>
      <c r="RLQ341" s="82"/>
      <c r="RLR341" s="82"/>
      <c r="RLS341" s="82"/>
      <c r="RLT341" s="83"/>
      <c r="RLU341" s="98"/>
      <c r="RLV341" s="85"/>
      <c r="RLW341" s="82"/>
      <c r="RLX341" s="82"/>
      <c r="RLY341" s="86"/>
      <c r="RLZ341" s="82"/>
      <c r="RMA341" s="82"/>
      <c r="RMB341" s="82"/>
      <c r="RMC341" s="82"/>
      <c r="RMD341" s="83"/>
      <c r="RME341" s="98"/>
      <c r="RMF341" s="85"/>
      <c r="RMG341" s="82"/>
      <c r="RMH341" s="82"/>
      <c r="RMI341" s="86"/>
      <c r="RMJ341" s="82"/>
      <c r="RMK341" s="82"/>
      <c r="RML341" s="82"/>
      <c r="RMM341" s="82"/>
      <c r="RMN341" s="83"/>
      <c r="RMO341" s="98"/>
      <c r="RMP341" s="85"/>
      <c r="RMQ341" s="82"/>
      <c r="RMR341" s="82"/>
      <c r="RMS341" s="86"/>
      <c r="RMT341" s="82"/>
      <c r="RMU341" s="82"/>
      <c r="RMV341" s="82"/>
      <c r="RMW341" s="82"/>
      <c r="RMX341" s="83"/>
      <c r="RMY341" s="98"/>
      <c r="RMZ341" s="85"/>
      <c r="RNA341" s="82"/>
      <c r="RNB341" s="82"/>
      <c r="RNC341" s="86"/>
      <c r="RND341" s="82"/>
      <c r="RNE341" s="82"/>
      <c r="RNF341" s="82"/>
      <c r="RNG341" s="82"/>
      <c r="RNH341" s="83"/>
      <c r="RNI341" s="98"/>
      <c r="RNJ341" s="85"/>
      <c r="RNK341" s="82"/>
      <c r="RNL341" s="82"/>
      <c r="RNM341" s="86"/>
      <c r="RNN341" s="82"/>
      <c r="RNO341" s="82"/>
      <c r="RNP341" s="82"/>
      <c r="RNQ341" s="82"/>
      <c r="RNR341" s="83"/>
      <c r="RNS341" s="98"/>
      <c r="RNT341" s="85"/>
      <c r="RNU341" s="82"/>
      <c r="RNV341" s="82"/>
      <c r="RNW341" s="86"/>
      <c r="RNX341" s="82"/>
      <c r="RNY341" s="82"/>
      <c r="RNZ341" s="82"/>
      <c r="ROA341" s="82"/>
      <c r="ROB341" s="83"/>
      <c r="ROC341" s="98"/>
      <c r="ROD341" s="85"/>
      <c r="ROE341" s="82"/>
      <c r="ROF341" s="82"/>
      <c r="ROG341" s="86"/>
      <c r="ROH341" s="82"/>
      <c r="ROI341" s="82"/>
      <c r="ROJ341" s="82"/>
      <c r="ROK341" s="82"/>
      <c r="ROL341" s="83"/>
      <c r="ROM341" s="98"/>
      <c r="RON341" s="85"/>
      <c r="ROO341" s="82"/>
      <c r="ROP341" s="82"/>
      <c r="ROQ341" s="86"/>
      <c r="ROR341" s="82"/>
      <c r="ROS341" s="82"/>
      <c r="ROT341" s="82"/>
      <c r="ROU341" s="82"/>
      <c r="ROV341" s="83"/>
      <c r="ROW341" s="98"/>
      <c r="ROX341" s="85"/>
      <c r="ROY341" s="82"/>
      <c r="ROZ341" s="82"/>
      <c r="RPA341" s="86"/>
      <c r="RPB341" s="82"/>
      <c r="RPC341" s="82"/>
      <c r="RPD341" s="82"/>
      <c r="RPE341" s="82"/>
      <c r="RPF341" s="83"/>
      <c r="RPG341" s="98"/>
      <c r="RPH341" s="85"/>
      <c r="RPI341" s="82"/>
      <c r="RPJ341" s="82"/>
      <c r="RPK341" s="86"/>
      <c r="RPL341" s="82"/>
      <c r="RPM341" s="82"/>
      <c r="RPN341" s="82"/>
      <c r="RPO341" s="82"/>
      <c r="RPP341" s="83"/>
      <c r="RPQ341" s="98"/>
      <c r="RPR341" s="85"/>
      <c r="RPS341" s="82"/>
      <c r="RPT341" s="82"/>
      <c r="RPU341" s="86"/>
      <c r="RPV341" s="82"/>
      <c r="RPW341" s="82"/>
      <c r="RPX341" s="82"/>
      <c r="RPY341" s="82"/>
      <c r="RPZ341" s="83"/>
      <c r="RQA341" s="98"/>
      <c r="RQB341" s="85"/>
      <c r="RQC341" s="82"/>
      <c r="RQD341" s="82"/>
      <c r="RQE341" s="86"/>
      <c r="RQF341" s="82"/>
      <c r="RQG341" s="82"/>
      <c r="RQH341" s="82"/>
      <c r="RQI341" s="82"/>
      <c r="RQJ341" s="83"/>
      <c r="RQK341" s="98"/>
      <c r="RQL341" s="85"/>
      <c r="RQM341" s="82"/>
      <c r="RQN341" s="82"/>
      <c r="RQO341" s="86"/>
      <c r="RQP341" s="82"/>
      <c r="RQQ341" s="82"/>
      <c r="RQR341" s="82"/>
      <c r="RQS341" s="82"/>
      <c r="RQT341" s="83"/>
      <c r="RQU341" s="98"/>
      <c r="RQV341" s="85"/>
      <c r="RQW341" s="82"/>
      <c r="RQX341" s="82"/>
      <c r="RQY341" s="86"/>
      <c r="RQZ341" s="82"/>
      <c r="RRA341" s="82"/>
      <c r="RRB341" s="82"/>
      <c r="RRC341" s="82"/>
      <c r="RRD341" s="83"/>
      <c r="RRE341" s="98"/>
      <c r="RRF341" s="85"/>
      <c r="RRG341" s="82"/>
      <c r="RRH341" s="82"/>
      <c r="RRI341" s="86"/>
      <c r="RRJ341" s="82"/>
      <c r="RRK341" s="82"/>
      <c r="RRL341" s="82"/>
      <c r="RRM341" s="82"/>
      <c r="RRN341" s="83"/>
      <c r="RRO341" s="98"/>
      <c r="RRP341" s="85"/>
      <c r="RRQ341" s="82"/>
      <c r="RRR341" s="82"/>
      <c r="RRS341" s="86"/>
      <c r="RRT341" s="82"/>
      <c r="RRU341" s="82"/>
      <c r="RRV341" s="82"/>
      <c r="RRW341" s="82"/>
      <c r="RRX341" s="83"/>
      <c r="RRY341" s="98"/>
      <c r="RRZ341" s="85"/>
      <c r="RSA341" s="82"/>
      <c r="RSB341" s="82"/>
      <c r="RSC341" s="86"/>
      <c r="RSD341" s="82"/>
      <c r="RSE341" s="82"/>
      <c r="RSF341" s="82"/>
      <c r="RSG341" s="82"/>
      <c r="RSH341" s="83"/>
      <c r="RSI341" s="98"/>
      <c r="RSJ341" s="85"/>
      <c r="RSK341" s="82"/>
      <c r="RSL341" s="82"/>
      <c r="RSM341" s="86"/>
      <c r="RSN341" s="82"/>
      <c r="RSO341" s="82"/>
      <c r="RSP341" s="82"/>
      <c r="RSQ341" s="82"/>
      <c r="RSR341" s="83"/>
      <c r="RSS341" s="98"/>
      <c r="RST341" s="85"/>
      <c r="RSU341" s="82"/>
      <c r="RSV341" s="82"/>
      <c r="RSW341" s="86"/>
      <c r="RSX341" s="82"/>
      <c r="RSY341" s="82"/>
      <c r="RSZ341" s="82"/>
      <c r="RTA341" s="82"/>
      <c r="RTB341" s="83"/>
      <c r="RTC341" s="98"/>
      <c r="RTD341" s="85"/>
      <c r="RTE341" s="82"/>
      <c r="RTF341" s="82"/>
      <c r="RTG341" s="86"/>
      <c r="RTH341" s="82"/>
      <c r="RTI341" s="82"/>
      <c r="RTJ341" s="82"/>
      <c r="RTK341" s="82"/>
      <c r="RTL341" s="83"/>
      <c r="RTM341" s="98"/>
      <c r="RTN341" s="85"/>
      <c r="RTO341" s="82"/>
      <c r="RTP341" s="82"/>
      <c r="RTQ341" s="86"/>
      <c r="RTR341" s="82"/>
      <c r="RTS341" s="82"/>
      <c r="RTT341" s="82"/>
      <c r="RTU341" s="82"/>
      <c r="RTV341" s="83"/>
      <c r="RTW341" s="98"/>
      <c r="RTX341" s="85"/>
      <c r="RTY341" s="82"/>
      <c r="RTZ341" s="82"/>
      <c r="RUA341" s="86"/>
      <c r="RUB341" s="82"/>
      <c r="RUC341" s="82"/>
      <c r="RUD341" s="82"/>
      <c r="RUE341" s="82"/>
      <c r="RUF341" s="83"/>
      <c r="RUG341" s="98"/>
      <c r="RUH341" s="85"/>
      <c r="RUI341" s="82"/>
      <c r="RUJ341" s="82"/>
      <c r="RUK341" s="86"/>
      <c r="RUL341" s="82"/>
      <c r="RUM341" s="82"/>
      <c r="RUN341" s="82"/>
      <c r="RUO341" s="82"/>
      <c r="RUP341" s="83"/>
      <c r="RUQ341" s="98"/>
      <c r="RUR341" s="85"/>
      <c r="RUS341" s="82"/>
      <c r="RUT341" s="82"/>
      <c r="RUU341" s="86"/>
      <c r="RUV341" s="82"/>
      <c r="RUW341" s="82"/>
      <c r="RUX341" s="82"/>
      <c r="RUY341" s="82"/>
      <c r="RUZ341" s="83"/>
      <c r="RVA341" s="98"/>
      <c r="RVB341" s="85"/>
      <c r="RVC341" s="82"/>
      <c r="RVD341" s="82"/>
      <c r="RVE341" s="86"/>
      <c r="RVF341" s="82"/>
      <c r="RVG341" s="82"/>
      <c r="RVH341" s="82"/>
      <c r="RVI341" s="82"/>
      <c r="RVJ341" s="83"/>
      <c r="RVK341" s="98"/>
      <c r="RVL341" s="85"/>
      <c r="RVM341" s="82"/>
      <c r="RVN341" s="82"/>
      <c r="RVO341" s="86"/>
      <c r="RVP341" s="82"/>
      <c r="RVQ341" s="82"/>
      <c r="RVR341" s="82"/>
      <c r="RVS341" s="82"/>
      <c r="RVT341" s="83"/>
      <c r="RVU341" s="98"/>
      <c r="RVV341" s="85"/>
      <c r="RVW341" s="82"/>
      <c r="RVX341" s="82"/>
      <c r="RVY341" s="86"/>
      <c r="RVZ341" s="82"/>
      <c r="RWA341" s="82"/>
      <c r="RWB341" s="82"/>
      <c r="RWC341" s="82"/>
      <c r="RWD341" s="83"/>
      <c r="RWE341" s="98"/>
      <c r="RWF341" s="85"/>
      <c r="RWG341" s="82"/>
      <c r="RWH341" s="82"/>
      <c r="RWI341" s="86"/>
      <c r="RWJ341" s="82"/>
      <c r="RWK341" s="82"/>
      <c r="RWL341" s="82"/>
      <c r="RWM341" s="82"/>
      <c r="RWN341" s="83"/>
      <c r="RWO341" s="98"/>
      <c r="RWP341" s="85"/>
      <c r="RWQ341" s="82"/>
      <c r="RWR341" s="82"/>
      <c r="RWS341" s="86"/>
      <c r="RWT341" s="82"/>
      <c r="RWU341" s="82"/>
      <c r="RWV341" s="82"/>
      <c r="RWW341" s="82"/>
      <c r="RWX341" s="83"/>
      <c r="RWY341" s="98"/>
      <c r="RWZ341" s="85"/>
      <c r="RXA341" s="82"/>
      <c r="RXB341" s="82"/>
      <c r="RXC341" s="86"/>
      <c r="RXD341" s="82"/>
      <c r="RXE341" s="82"/>
      <c r="RXF341" s="82"/>
      <c r="RXG341" s="82"/>
      <c r="RXH341" s="83"/>
      <c r="RXI341" s="98"/>
      <c r="RXJ341" s="85"/>
      <c r="RXK341" s="82"/>
      <c r="RXL341" s="82"/>
      <c r="RXM341" s="86"/>
      <c r="RXN341" s="82"/>
      <c r="RXO341" s="82"/>
      <c r="RXP341" s="82"/>
      <c r="RXQ341" s="82"/>
      <c r="RXR341" s="83"/>
      <c r="RXS341" s="98"/>
      <c r="RXT341" s="85"/>
      <c r="RXU341" s="82"/>
      <c r="RXV341" s="82"/>
      <c r="RXW341" s="86"/>
      <c r="RXX341" s="82"/>
      <c r="RXY341" s="82"/>
      <c r="RXZ341" s="82"/>
      <c r="RYA341" s="82"/>
      <c r="RYB341" s="83"/>
      <c r="RYC341" s="98"/>
      <c r="RYD341" s="85"/>
      <c r="RYE341" s="82"/>
      <c r="RYF341" s="82"/>
      <c r="RYG341" s="86"/>
      <c r="RYH341" s="82"/>
      <c r="RYI341" s="82"/>
      <c r="RYJ341" s="82"/>
      <c r="RYK341" s="82"/>
      <c r="RYL341" s="83"/>
      <c r="RYM341" s="98"/>
      <c r="RYN341" s="85"/>
      <c r="RYO341" s="82"/>
      <c r="RYP341" s="82"/>
      <c r="RYQ341" s="86"/>
      <c r="RYR341" s="82"/>
      <c r="RYS341" s="82"/>
      <c r="RYT341" s="82"/>
      <c r="RYU341" s="82"/>
      <c r="RYV341" s="83"/>
      <c r="RYW341" s="98"/>
      <c r="RYX341" s="85"/>
      <c r="RYY341" s="82"/>
      <c r="RYZ341" s="82"/>
      <c r="RZA341" s="86"/>
      <c r="RZB341" s="82"/>
      <c r="RZC341" s="82"/>
      <c r="RZD341" s="82"/>
      <c r="RZE341" s="82"/>
      <c r="RZF341" s="83"/>
      <c r="RZG341" s="98"/>
      <c r="RZH341" s="85"/>
      <c r="RZI341" s="82"/>
      <c r="RZJ341" s="82"/>
      <c r="RZK341" s="86"/>
      <c r="RZL341" s="82"/>
      <c r="RZM341" s="82"/>
      <c r="RZN341" s="82"/>
      <c r="RZO341" s="82"/>
      <c r="RZP341" s="83"/>
      <c r="RZQ341" s="98"/>
      <c r="RZR341" s="85"/>
      <c r="RZS341" s="82"/>
      <c r="RZT341" s="82"/>
      <c r="RZU341" s="86"/>
      <c r="RZV341" s="82"/>
      <c r="RZW341" s="82"/>
      <c r="RZX341" s="82"/>
      <c r="RZY341" s="82"/>
      <c r="RZZ341" s="83"/>
      <c r="SAA341" s="98"/>
      <c r="SAB341" s="85"/>
      <c r="SAC341" s="82"/>
      <c r="SAD341" s="82"/>
      <c r="SAE341" s="86"/>
      <c r="SAF341" s="82"/>
      <c r="SAG341" s="82"/>
      <c r="SAH341" s="82"/>
      <c r="SAI341" s="82"/>
      <c r="SAJ341" s="83"/>
      <c r="SAK341" s="98"/>
      <c r="SAL341" s="85"/>
      <c r="SAM341" s="82"/>
      <c r="SAN341" s="82"/>
      <c r="SAO341" s="86"/>
      <c r="SAP341" s="82"/>
      <c r="SAQ341" s="82"/>
      <c r="SAR341" s="82"/>
      <c r="SAS341" s="82"/>
      <c r="SAT341" s="83"/>
      <c r="SAU341" s="98"/>
      <c r="SAV341" s="85"/>
      <c r="SAW341" s="82"/>
      <c r="SAX341" s="82"/>
      <c r="SAY341" s="86"/>
      <c r="SAZ341" s="82"/>
      <c r="SBA341" s="82"/>
      <c r="SBB341" s="82"/>
      <c r="SBC341" s="82"/>
      <c r="SBD341" s="83"/>
      <c r="SBE341" s="98"/>
      <c r="SBF341" s="85"/>
      <c r="SBG341" s="82"/>
      <c r="SBH341" s="82"/>
      <c r="SBI341" s="86"/>
      <c r="SBJ341" s="82"/>
      <c r="SBK341" s="82"/>
      <c r="SBL341" s="82"/>
      <c r="SBM341" s="82"/>
      <c r="SBN341" s="83"/>
      <c r="SBO341" s="98"/>
      <c r="SBP341" s="85"/>
      <c r="SBQ341" s="82"/>
      <c r="SBR341" s="82"/>
      <c r="SBS341" s="86"/>
      <c r="SBT341" s="82"/>
      <c r="SBU341" s="82"/>
      <c r="SBV341" s="82"/>
      <c r="SBW341" s="82"/>
      <c r="SBX341" s="83"/>
      <c r="SBY341" s="98"/>
      <c r="SBZ341" s="85"/>
      <c r="SCA341" s="82"/>
      <c r="SCB341" s="82"/>
      <c r="SCC341" s="86"/>
      <c r="SCD341" s="82"/>
      <c r="SCE341" s="82"/>
      <c r="SCF341" s="82"/>
      <c r="SCG341" s="82"/>
      <c r="SCH341" s="83"/>
      <c r="SCI341" s="98"/>
      <c r="SCJ341" s="85"/>
      <c r="SCK341" s="82"/>
      <c r="SCL341" s="82"/>
      <c r="SCM341" s="86"/>
      <c r="SCN341" s="82"/>
      <c r="SCO341" s="82"/>
      <c r="SCP341" s="82"/>
      <c r="SCQ341" s="82"/>
      <c r="SCR341" s="83"/>
      <c r="SCS341" s="98"/>
      <c r="SCT341" s="85"/>
      <c r="SCU341" s="82"/>
      <c r="SCV341" s="82"/>
      <c r="SCW341" s="86"/>
      <c r="SCX341" s="82"/>
      <c r="SCY341" s="82"/>
      <c r="SCZ341" s="82"/>
      <c r="SDA341" s="82"/>
      <c r="SDB341" s="83"/>
      <c r="SDC341" s="98"/>
      <c r="SDD341" s="85"/>
      <c r="SDE341" s="82"/>
      <c r="SDF341" s="82"/>
      <c r="SDG341" s="86"/>
      <c r="SDH341" s="82"/>
      <c r="SDI341" s="82"/>
      <c r="SDJ341" s="82"/>
      <c r="SDK341" s="82"/>
      <c r="SDL341" s="83"/>
      <c r="SDM341" s="98"/>
      <c r="SDN341" s="85"/>
      <c r="SDO341" s="82"/>
      <c r="SDP341" s="82"/>
      <c r="SDQ341" s="86"/>
      <c r="SDR341" s="82"/>
      <c r="SDS341" s="82"/>
      <c r="SDT341" s="82"/>
      <c r="SDU341" s="82"/>
      <c r="SDV341" s="83"/>
      <c r="SDW341" s="98"/>
      <c r="SDX341" s="85"/>
      <c r="SDY341" s="82"/>
      <c r="SDZ341" s="82"/>
      <c r="SEA341" s="86"/>
      <c r="SEB341" s="82"/>
      <c r="SEC341" s="82"/>
      <c r="SED341" s="82"/>
      <c r="SEE341" s="82"/>
      <c r="SEF341" s="83"/>
      <c r="SEG341" s="98"/>
      <c r="SEH341" s="85"/>
      <c r="SEI341" s="82"/>
      <c r="SEJ341" s="82"/>
      <c r="SEK341" s="86"/>
      <c r="SEL341" s="82"/>
      <c r="SEM341" s="82"/>
      <c r="SEN341" s="82"/>
      <c r="SEO341" s="82"/>
      <c r="SEP341" s="83"/>
      <c r="SEQ341" s="98"/>
      <c r="SER341" s="85"/>
      <c r="SES341" s="82"/>
      <c r="SET341" s="82"/>
      <c r="SEU341" s="86"/>
      <c r="SEV341" s="82"/>
      <c r="SEW341" s="82"/>
      <c r="SEX341" s="82"/>
      <c r="SEY341" s="82"/>
      <c r="SEZ341" s="83"/>
      <c r="SFA341" s="98"/>
      <c r="SFB341" s="85"/>
      <c r="SFC341" s="82"/>
      <c r="SFD341" s="82"/>
      <c r="SFE341" s="86"/>
      <c r="SFF341" s="82"/>
      <c r="SFG341" s="82"/>
      <c r="SFH341" s="82"/>
      <c r="SFI341" s="82"/>
      <c r="SFJ341" s="83"/>
      <c r="SFK341" s="98"/>
      <c r="SFL341" s="85"/>
      <c r="SFM341" s="82"/>
      <c r="SFN341" s="82"/>
      <c r="SFO341" s="86"/>
      <c r="SFP341" s="82"/>
      <c r="SFQ341" s="82"/>
      <c r="SFR341" s="82"/>
      <c r="SFS341" s="82"/>
      <c r="SFT341" s="83"/>
      <c r="SFU341" s="98"/>
      <c r="SFV341" s="85"/>
      <c r="SFW341" s="82"/>
      <c r="SFX341" s="82"/>
      <c r="SFY341" s="86"/>
      <c r="SFZ341" s="82"/>
      <c r="SGA341" s="82"/>
      <c r="SGB341" s="82"/>
      <c r="SGC341" s="82"/>
      <c r="SGD341" s="83"/>
      <c r="SGE341" s="98"/>
      <c r="SGF341" s="85"/>
      <c r="SGG341" s="82"/>
      <c r="SGH341" s="82"/>
      <c r="SGI341" s="86"/>
      <c r="SGJ341" s="82"/>
      <c r="SGK341" s="82"/>
      <c r="SGL341" s="82"/>
      <c r="SGM341" s="82"/>
      <c r="SGN341" s="83"/>
      <c r="SGO341" s="98"/>
      <c r="SGP341" s="85"/>
      <c r="SGQ341" s="82"/>
      <c r="SGR341" s="82"/>
      <c r="SGS341" s="86"/>
      <c r="SGT341" s="82"/>
      <c r="SGU341" s="82"/>
      <c r="SGV341" s="82"/>
      <c r="SGW341" s="82"/>
      <c r="SGX341" s="83"/>
      <c r="SGY341" s="98"/>
      <c r="SGZ341" s="85"/>
      <c r="SHA341" s="82"/>
      <c r="SHB341" s="82"/>
      <c r="SHC341" s="86"/>
      <c r="SHD341" s="82"/>
      <c r="SHE341" s="82"/>
      <c r="SHF341" s="82"/>
      <c r="SHG341" s="82"/>
      <c r="SHH341" s="83"/>
      <c r="SHI341" s="98"/>
      <c r="SHJ341" s="85"/>
      <c r="SHK341" s="82"/>
      <c r="SHL341" s="82"/>
      <c r="SHM341" s="86"/>
      <c r="SHN341" s="82"/>
      <c r="SHO341" s="82"/>
      <c r="SHP341" s="82"/>
      <c r="SHQ341" s="82"/>
      <c r="SHR341" s="83"/>
      <c r="SHS341" s="98"/>
      <c r="SHT341" s="85"/>
      <c r="SHU341" s="82"/>
      <c r="SHV341" s="82"/>
      <c r="SHW341" s="86"/>
      <c r="SHX341" s="82"/>
      <c r="SHY341" s="82"/>
      <c r="SHZ341" s="82"/>
      <c r="SIA341" s="82"/>
      <c r="SIB341" s="83"/>
      <c r="SIC341" s="98"/>
      <c r="SID341" s="85"/>
      <c r="SIE341" s="82"/>
      <c r="SIF341" s="82"/>
      <c r="SIG341" s="86"/>
      <c r="SIH341" s="82"/>
      <c r="SII341" s="82"/>
      <c r="SIJ341" s="82"/>
      <c r="SIK341" s="82"/>
      <c r="SIL341" s="83"/>
      <c r="SIM341" s="98"/>
      <c r="SIN341" s="85"/>
      <c r="SIO341" s="82"/>
      <c r="SIP341" s="82"/>
      <c r="SIQ341" s="86"/>
      <c r="SIR341" s="82"/>
      <c r="SIS341" s="82"/>
      <c r="SIT341" s="82"/>
      <c r="SIU341" s="82"/>
      <c r="SIV341" s="83"/>
      <c r="SIW341" s="98"/>
      <c r="SIX341" s="85"/>
      <c r="SIY341" s="82"/>
      <c r="SIZ341" s="82"/>
      <c r="SJA341" s="86"/>
      <c r="SJB341" s="82"/>
      <c r="SJC341" s="82"/>
      <c r="SJD341" s="82"/>
      <c r="SJE341" s="82"/>
      <c r="SJF341" s="83"/>
      <c r="SJG341" s="98"/>
      <c r="SJH341" s="85"/>
      <c r="SJI341" s="82"/>
      <c r="SJJ341" s="82"/>
      <c r="SJK341" s="86"/>
      <c r="SJL341" s="82"/>
      <c r="SJM341" s="82"/>
      <c r="SJN341" s="82"/>
      <c r="SJO341" s="82"/>
      <c r="SJP341" s="83"/>
      <c r="SJQ341" s="98"/>
      <c r="SJR341" s="85"/>
      <c r="SJS341" s="82"/>
      <c r="SJT341" s="82"/>
      <c r="SJU341" s="86"/>
      <c r="SJV341" s="82"/>
      <c r="SJW341" s="82"/>
      <c r="SJX341" s="82"/>
      <c r="SJY341" s="82"/>
      <c r="SJZ341" s="83"/>
      <c r="SKA341" s="98"/>
      <c r="SKB341" s="85"/>
      <c r="SKC341" s="82"/>
      <c r="SKD341" s="82"/>
      <c r="SKE341" s="86"/>
      <c r="SKF341" s="82"/>
      <c r="SKG341" s="82"/>
      <c r="SKH341" s="82"/>
      <c r="SKI341" s="82"/>
      <c r="SKJ341" s="83"/>
      <c r="SKK341" s="98"/>
      <c r="SKL341" s="85"/>
      <c r="SKM341" s="82"/>
      <c r="SKN341" s="82"/>
      <c r="SKO341" s="86"/>
      <c r="SKP341" s="82"/>
      <c r="SKQ341" s="82"/>
      <c r="SKR341" s="82"/>
      <c r="SKS341" s="82"/>
      <c r="SKT341" s="83"/>
      <c r="SKU341" s="98"/>
      <c r="SKV341" s="85"/>
      <c r="SKW341" s="82"/>
      <c r="SKX341" s="82"/>
      <c r="SKY341" s="86"/>
      <c r="SKZ341" s="82"/>
      <c r="SLA341" s="82"/>
      <c r="SLB341" s="82"/>
      <c r="SLC341" s="82"/>
      <c r="SLD341" s="83"/>
      <c r="SLE341" s="98"/>
      <c r="SLF341" s="85"/>
      <c r="SLG341" s="82"/>
      <c r="SLH341" s="82"/>
      <c r="SLI341" s="86"/>
      <c r="SLJ341" s="82"/>
      <c r="SLK341" s="82"/>
      <c r="SLL341" s="82"/>
      <c r="SLM341" s="82"/>
      <c r="SLN341" s="83"/>
      <c r="SLO341" s="98"/>
      <c r="SLP341" s="85"/>
      <c r="SLQ341" s="82"/>
      <c r="SLR341" s="82"/>
      <c r="SLS341" s="86"/>
      <c r="SLT341" s="82"/>
      <c r="SLU341" s="82"/>
      <c r="SLV341" s="82"/>
      <c r="SLW341" s="82"/>
      <c r="SLX341" s="83"/>
      <c r="SLY341" s="98"/>
      <c r="SLZ341" s="85"/>
      <c r="SMA341" s="82"/>
      <c r="SMB341" s="82"/>
      <c r="SMC341" s="86"/>
      <c r="SMD341" s="82"/>
      <c r="SME341" s="82"/>
      <c r="SMF341" s="82"/>
      <c r="SMG341" s="82"/>
      <c r="SMH341" s="83"/>
      <c r="SMI341" s="98"/>
      <c r="SMJ341" s="85"/>
      <c r="SMK341" s="82"/>
      <c r="SML341" s="82"/>
      <c r="SMM341" s="86"/>
      <c r="SMN341" s="82"/>
      <c r="SMO341" s="82"/>
      <c r="SMP341" s="82"/>
      <c r="SMQ341" s="82"/>
      <c r="SMR341" s="83"/>
      <c r="SMS341" s="98"/>
      <c r="SMT341" s="85"/>
      <c r="SMU341" s="82"/>
      <c r="SMV341" s="82"/>
      <c r="SMW341" s="86"/>
      <c r="SMX341" s="82"/>
      <c r="SMY341" s="82"/>
      <c r="SMZ341" s="82"/>
      <c r="SNA341" s="82"/>
      <c r="SNB341" s="83"/>
      <c r="SNC341" s="98"/>
      <c r="SND341" s="85"/>
      <c r="SNE341" s="82"/>
      <c r="SNF341" s="82"/>
      <c r="SNG341" s="86"/>
      <c r="SNH341" s="82"/>
      <c r="SNI341" s="82"/>
      <c r="SNJ341" s="82"/>
      <c r="SNK341" s="82"/>
      <c r="SNL341" s="83"/>
      <c r="SNM341" s="98"/>
      <c r="SNN341" s="85"/>
      <c r="SNO341" s="82"/>
      <c r="SNP341" s="82"/>
      <c r="SNQ341" s="86"/>
      <c r="SNR341" s="82"/>
      <c r="SNS341" s="82"/>
      <c r="SNT341" s="82"/>
      <c r="SNU341" s="82"/>
      <c r="SNV341" s="83"/>
      <c r="SNW341" s="98"/>
      <c r="SNX341" s="85"/>
      <c r="SNY341" s="82"/>
      <c r="SNZ341" s="82"/>
      <c r="SOA341" s="86"/>
      <c r="SOB341" s="82"/>
      <c r="SOC341" s="82"/>
      <c r="SOD341" s="82"/>
      <c r="SOE341" s="82"/>
      <c r="SOF341" s="83"/>
      <c r="SOG341" s="98"/>
      <c r="SOH341" s="85"/>
      <c r="SOI341" s="82"/>
      <c r="SOJ341" s="82"/>
      <c r="SOK341" s="86"/>
      <c r="SOL341" s="82"/>
      <c r="SOM341" s="82"/>
      <c r="SON341" s="82"/>
      <c r="SOO341" s="82"/>
      <c r="SOP341" s="83"/>
      <c r="SOQ341" s="98"/>
      <c r="SOR341" s="85"/>
      <c r="SOS341" s="82"/>
      <c r="SOT341" s="82"/>
      <c r="SOU341" s="86"/>
      <c r="SOV341" s="82"/>
      <c r="SOW341" s="82"/>
      <c r="SOX341" s="82"/>
      <c r="SOY341" s="82"/>
      <c r="SOZ341" s="83"/>
      <c r="SPA341" s="98"/>
      <c r="SPB341" s="85"/>
      <c r="SPC341" s="82"/>
      <c r="SPD341" s="82"/>
      <c r="SPE341" s="86"/>
      <c r="SPF341" s="82"/>
      <c r="SPG341" s="82"/>
      <c r="SPH341" s="82"/>
      <c r="SPI341" s="82"/>
      <c r="SPJ341" s="83"/>
      <c r="SPK341" s="98"/>
      <c r="SPL341" s="85"/>
      <c r="SPM341" s="82"/>
      <c r="SPN341" s="82"/>
      <c r="SPO341" s="86"/>
      <c r="SPP341" s="82"/>
      <c r="SPQ341" s="82"/>
      <c r="SPR341" s="82"/>
      <c r="SPS341" s="82"/>
      <c r="SPT341" s="83"/>
      <c r="SPU341" s="98"/>
      <c r="SPV341" s="85"/>
      <c r="SPW341" s="82"/>
      <c r="SPX341" s="82"/>
      <c r="SPY341" s="86"/>
      <c r="SPZ341" s="82"/>
      <c r="SQA341" s="82"/>
      <c r="SQB341" s="82"/>
      <c r="SQC341" s="82"/>
      <c r="SQD341" s="83"/>
      <c r="SQE341" s="98"/>
      <c r="SQF341" s="85"/>
      <c r="SQG341" s="82"/>
      <c r="SQH341" s="82"/>
      <c r="SQI341" s="86"/>
      <c r="SQJ341" s="82"/>
      <c r="SQK341" s="82"/>
      <c r="SQL341" s="82"/>
      <c r="SQM341" s="82"/>
      <c r="SQN341" s="83"/>
      <c r="SQO341" s="98"/>
      <c r="SQP341" s="85"/>
      <c r="SQQ341" s="82"/>
      <c r="SQR341" s="82"/>
      <c r="SQS341" s="86"/>
      <c r="SQT341" s="82"/>
      <c r="SQU341" s="82"/>
      <c r="SQV341" s="82"/>
      <c r="SQW341" s="82"/>
      <c r="SQX341" s="83"/>
      <c r="SQY341" s="98"/>
      <c r="SQZ341" s="85"/>
      <c r="SRA341" s="82"/>
      <c r="SRB341" s="82"/>
      <c r="SRC341" s="86"/>
      <c r="SRD341" s="82"/>
      <c r="SRE341" s="82"/>
      <c r="SRF341" s="82"/>
      <c r="SRG341" s="82"/>
      <c r="SRH341" s="83"/>
      <c r="SRI341" s="98"/>
      <c r="SRJ341" s="85"/>
      <c r="SRK341" s="82"/>
      <c r="SRL341" s="82"/>
      <c r="SRM341" s="86"/>
      <c r="SRN341" s="82"/>
      <c r="SRO341" s="82"/>
      <c r="SRP341" s="82"/>
      <c r="SRQ341" s="82"/>
      <c r="SRR341" s="83"/>
      <c r="SRS341" s="98"/>
      <c r="SRT341" s="85"/>
      <c r="SRU341" s="82"/>
      <c r="SRV341" s="82"/>
      <c r="SRW341" s="86"/>
      <c r="SRX341" s="82"/>
      <c r="SRY341" s="82"/>
      <c r="SRZ341" s="82"/>
      <c r="SSA341" s="82"/>
      <c r="SSB341" s="83"/>
      <c r="SSC341" s="98"/>
      <c r="SSD341" s="85"/>
      <c r="SSE341" s="82"/>
      <c r="SSF341" s="82"/>
      <c r="SSG341" s="86"/>
      <c r="SSH341" s="82"/>
      <c r="SSI341" s="82"/>
      <c r="SSJ341" s="82"/>
      <c r="SSK341" s="82"/>
      <c r="SSL341" s="83"/>
      <c r="SSM341" s="98"/>
      <c r="SSN341" s="85"/>
      <c r="SSO341" s="82"/>
      <c r="SSP341" s="82"/>
      <c r="SSQ341" s="86"/>
      <c r="SSR341" s="82"/>
      <c r="SSS341" s="82"/>
      <c r="SST341" s="82"/>
      <c r="SSU341" s="82"/>
      <c r="SSV341" s="83"/>
      <c r="SSW341" s="98"/>
      <c r="SSX341" s="85"/>
      <c r="SSY341" s="82"/>
      <c r="SSZ341" s="82"/>
      <c r="STA341" s="86"/>
      <c r="STB341" s="82"/>
      <c r="STC341" s="82"/>
      <c r="STD341" s="82"/>
      <c r="STE341" s="82"/>
      <c r="STF341" s="83"/>
      <c r="STG341" s="98"/>
      <c r="STH341" s="85"/>
      <c r="STI341" s="82"/>
      <c r="STJ341" s="82"/>
      <c r="STK341" s="86"/>
      <c r="STL341" s="82"/>
      <c r="STM341" s="82"/>
      <c r="STN341" s="82"/>
      <c r="STO341" s="82"/>
      <c r="STP341" s="83"/>
      <c r="STQ341" s="98"/>
      <c r="STR341" s="85"/>
      <c r="STS341" s="82"/>
      <c r="STT341" s="82"/>
      <c r="STU341" s="86"/>
      <c r="STV341" s="82"/>
      <c r="STW341" s="82"/>
      <c r="STX341" s="82"/>
      <c r="STY341" s="82"/>
      <c r="STZ341" s="83"/>
      <c r="SUA341" s="98"/>
      <c r="SUB341" s="85"/>
      <c r="SUC341" s="82"/>
      <c r="SUD341" s="82"/>
      <c r="SUE341" s="86"/>
      <c r="SUF341" s="82"/>
      <c r="SUG341" s="82"/>
      <c r="SUH341" s="82"/>
      <c r="SUI341" s="82"/>
      <c r="SUJ341" s="83"/>
      <c r="SUK341" s="98"/>
      <c r="SUL341" s="85"/>
      <c r="SUM341" s="82"/>
      <c r="SUN341" s="82"/>
      <c r="SUO341" s="86"/>
      <c r="SUP341" s="82"/>
      <c r="SUQ341" s="82"/>
      <c r="SUR341" s="82"/>
      <c r="SUS341" s="82"/>
      <c r="SUT341" s="83"/>
      <c r="SUU341" s="98"/>
      <c r="SUV341" s="85"/>
      <c r="SUW341" s="82"/>
      <c r="SUX341" s="82"/>
      <c r="SUY341" s="86"/>
      <c r="SUZ341" s="82"/>
      <c r="SVA341" s="82"/>
      <c r="SVB341" s="82"/>
      <c r="SVC341" s="82"/>
      <c r="SVD341" s="83"/>
      <c r="SVE341" s="98"/>
      <c r="SVF341" s="85"/>
      <c r="SVG341" s="82"/>
      <c r="SVH341" s="82"/>
      <c r="SVI341" s="86"/>
      <c r="SVJ341" s="82"/>
      <c r="SVK341" s="82"/>
      <c r="SVL341" s="82"/>
      <c r="SVM341" s="82"/>
      <c r="SVN341" s="83"/>
      <c r="SVO341" s="98"/>
      <c r="SVP341" s="85"/>
      <c r="SVQ341" s="82"/>
      <c r="SVR341" s="82"/>
      <c r="SVS341" s="86"/>
      <c r="SVT341" s="82"/>
      <c r="SVU341" s="82"/>
      <c r="SVV341" s="82"/>
      <c r="SVW341" s="82"/>
      <c r="SVX341" s="83"/>
      <c r="SVY341" s="98"/>
      <c r="SVZ341" s="85"/>
      <c r="SWA341" s="82"/>
      <c r="SWB341" s="82"/>
      <c r="SWC341" s="86"/>
      <c r="SWD341" s="82"/>
      <c r="SWE341" s="82"/>
      <c r="SWF341" s="82"/>
      <c r="SWG341" s="82"/>
      <c r="SWH341" s="83"/>
      <c r="SWI341" s="98"/>
      <c r="SWJ341" s="85"/>
      <c r="SWK341" s="82"/>
      <c r="SWL341" s="82"/>
      <c r="SWM341" s="86"/>
      <c r="SWN341" s="82"/>
      <c r="SWO341" s="82"/>
      <c r="SWP341" s="82"/>
      <c r="SWQ341" s="82"/>
      <c r="SWR341" s="83"/>
      <c r="SWS341" s="98"/>
      <c r="SWT341" s="85"/>
      <c r="SWU341" s="82"/>
      <c r="SWV341" s="82"/>
      <c r="SWW341" s="86"/>
      <c r="SWX341" s="82"/>
      <c r="SWY341" s="82"/>
      <c r="SWZ341" s="82"/>
      <c r="SXA341" s="82"/>
      <c r="SXB341" s="83"/>
      <c r="SXC341" s="98"/>
      <c r="SXD341" s="85"/>
      <c r="SXE341" s="82"/>
      <c r="SXF341" s="82"/>
      <c r="SXG341" s="86"/>
      <c r="SXH341" s="82"/>
      <c r="SXI341" s="82"/>
      <c r="SXJ341" s="82"/>
      <c r="SXK341" s="82"/>
      <c r="SXL341" s="83"/>
      <c r="SXM341" s="98"/>
      <c r="SXN341" s="85"/>
      <c r="SXO341" s="82"/>
      <c r="SXP341" s="82"/>
      <c r="SXQ341" s="86"/>
      <c r="SXR341" s="82"/>
      <c r="SXS341" s="82"/>
      <c r="SXT341" s="82"/>
      <c r="SXU341" s="82"/>
      <c r="SXV341" s="83"/>
      <c r="SXW341" s="98"/>
      <c r="SXX341" s="85"/>
      <c r="SXY341" s="82"/>
      <c r="SXZ341" s="82"/>
      <c r="SYA341" s="86"/>
      <c r="SYB341" s="82"/>
      <c r="SYC341" s="82"/>
      <c r="SYD341" s="82"/>
      <c r="SYE341" s="82"/>
      <c r="SYF341" s="83"/>
      <c r="SYG341" s="98"/>
      <c r="SYH341" s="85"/>
      <c r="SYI341" s="82"/>
      <c r="SYJ341" s="82"/>
      <c r="SYK341" s="86"/>
      <c r="SYL341" s="82"/>
      <c r="SYM341" s="82"/>
      <c r="SYN341" s="82"/>
      <c r="SYO341" s="82"/>
      <c r="SYP341" s="83"/>
      <c r="SYQ341" s="98"/>
      <c r="SYR341" s="85"/>
      <c r="SYS341" s="82"/>
      <c r="SYT341" s="82"/>
      <c r="SYU341" s="86"/>
      <c r="SYV341" s="82"/>
      <c r="SYW341" s="82"/>
      <c r="SYX341" s="82"/>
      <c r="SYY341" s="82"/>
      <c r="SYZ341" s="83"/>
      <c r="SZA341" s="98"/>
      <c r="SZB341" s="85"/>
      <c r="SZC341" s="82"/>
      <c r="SZD341" s="82"/>
      <c r="SZE341" s="86"/>
      <c r="SZF341" s="82"/>
      <c r="SZG341" s="82"/>
      <c r="SZH341" s="82"/>
      <c r="SZI341" s="82"/>
      <c r="SZJ341" s="83"/>
      <c r="SZK341" s="98"/>
      <c r="SZL341" s="85"/>
      <c r="SZM341" s="82"/>
      <c r="SZN341" s="82"/>
      <c r="SZO341" s="86"/>
      <c r="SZP341" s="82"/>
      <c r="SZQ341" s="82"/>
      <c r="SZR341" s="82"/>
      <c r="SZS341" s="82"/>
      <c r="SZT341" s="83"/>
      <c r="SZU341" s="98"/>
      <c r="SZV341" s="85"/>
      <c r="SZW341" s="82"/>
      <c r="SZX341" s="82"/>
      <c r="SZY341" s="86"/>
      <c r="SZZ341" s="82"/>
      <c r="TAA341" s="82"/>
      <c r="TAB341" s="82"/>
      <c r="TAC341" s="82"/>
      <c r="TAD341" s="83"/>
      <c r="TAE341" s="98"/>
      <c r="TAF341" s="85"/>
      <c r="TAG341" s="82"/>
      <c r="TAH341" s="82"/>
      <c r="TAI341" s="86"/>
      <c r="TAJ341" s="82"/>
      <c r="TAK341" s="82"/>
      <c r="TAL341" s="82"/>
      <c r="TAM341" s="82"/>
      <c r="TAN341" s="83"/>
      <c r="TAO341" s="98"/>
      <c r="TAP341" s="85"/>
      <c r="TAQ341" s="82"/>
      <c r="TAR341" s="82"/>
      <c r="TAS341" s="86"/>
      <c r="TAT341" s="82"/>
      <c r="TAU341" s="82"/>
      <c r="TAV341" s="82"/>
      <c r="TAW341" s="82"/>
      <c r="TAX341" s="83"/>
      <c r="TAY341" s="98"/>
      <c r="TAZ341" s="85"/>
      <c r="TBA341" s="82"/>
      <c r="TBB341" s="82"/>
      <c r="TBC341" s="86"/>
      <c r="TBD341" s="82"/>
      <c r="TBE341" s="82"/>
      <c r="TBF341" s="82"/>
      <c r="TBG341" s="82"/>
      <c r="TBH341" s="83"/>
      <c r="TBI341" s="98"/>
      <c r="TBJ341" s="85"/>
      <c r="TBK341" s="82"/>
      <c r="TBL341" s="82"/>
      <c r="TBM341" s="86"/>
      <c r="TBN341" s="82"/>
      <c r="TBO341" s="82"/>
      <c r="TBP341" s="82"/>
      <c r="TBQ341" s="82"/>
      <c r="TBR341" s="83"/>
      <c r="TBS341" s="98"/>
      <c r="TBT341" s="85"/>
      <c r="TBU341" s="82"/>
      <c r="TBV341" s="82"/>
      <c r="TBW341" s="86"/>
      <c r="TBX341" s="82"/>
      <c r="TBY341" s="82"/>
      <c r="TBZ341" s="82"/>
      <c r="TCA341" s="82"/>
      <c r="TCB341" s="83"/>
      <c r="TCC341" s="98"/>
      <c r="TCD341" s="85"/>
      <c r="TCE341" s="82"/>
      <c r="TCF341" s="82"/>
      <c r="TCG341" s="86"/>
      <c r="TCH341" s="82"/>
      <c r="TCI341" s="82"/>
      <c r="TCJ341" s="82"/>
      <c r="TCK341" s="82"/>
      <c r="TCL341" s="83"/>
      <c r="TCM341" s="98"/>
      <c r="TCN341" s="85"/>
      <c r="TCO341" s="82"/>
      <c r="TCP341" s="82"/>
      <c r="TCQ341" s="86"/>
      <c r="TCR341" s="82"/>
      <c r="TCS341" s="82"/>
      <c r="TCT341" s="82"/>
      <c r="TCU341" s="82"/>
      <c r="TCV341" s="83"/>
      <c r="TCW341" s="98"/>
      <c r="TCX341" s="85"/>
      <c r="TCY341" s="82"/>
      <c r="TCZ341" s="82"/>
      <c r="TDA341" s="86"/>
      <c r="TDB341" s="82"/>
      <c r="TDC341" s="82"/>
      <c r="TDD341" s="82"/>
      <c r="TDE341" s="82"/>
      <c r="TDF341" s="83"/>
      <c r="TDG341" s="98"/>
      <c r="TDH341" s="85"/>
      <c r="TDI341" s="82"/>
      <c r="TDJ341" s="82"/>
      <c r="TDK341" s="86"/>
      <c r="TDL341" s="82"/>
      <c r="TDM341" s="82"/>
      <c r="TDN341" s="82"/>
      <c r="TDO341" s="82"/>
      <c r="TDP341" s="83"/>
      <c r="TDQ341" s="98"/>
      <c r="TDR341" s="85"/>
      <c r="TDS341" s="82"/>
      <c r="TDT341" s="82"/>
      <c r="TDU341" s="86"/>
      <c r="TDV341" s="82"/>
      <c r="TDW341" s="82"/>
      <c r="TDX341" s="82"/>
      <c r="TDY341" s="82"/>
      <c r="TDZ341" s="83"/>
      <c r="TEA341" s="98"/>
      <c r="TEB341" s="85"/>
      <c r="TEC341" s="82"/>
      <c r="TED341" s="82"/>
      <c r="TEE341" s="86"/>
      <c r="TEF341" s="82"/>
      <c r="TEG341" s="82"/>
      <c r="TEH341" s="82"/>
      <c r="TEI341" s="82"/>
      <c r="TEJ341" s="83"/>
      <c r="TEK341" s="98"/>
      <c r="TEL341" s="85"/>
      <c r="TEM341" s="82"/>
      <c r="TEN341" s="82"/>
      <c r="TEO341" s="86"/>
      <c r="TEP341" s="82"/>
      <c r="TEQ341" s="82"/>
      <c r="TER341" s="82"/>
      <c r="TES341" s="82"/>
      <c r="TET341" s="83"/>
      <c r="TEU341" s="98"/>
      <c r="TEV341" s="85"/>
      <c r="TEW341" s="82"/>
      <c r="TEX341" s="82"/>
      <c r="TEY341" s="86"/>
      <c r="TEZ341" s="82"/>
      <c r="TFA341" s="82"/>
      <c r="TFB341" s="82"/>
      <c r="TFC341" s="82"/>
      <c r="TFD341" s="83"/>
      <c r="TFE341" s="98"/>
      <c r="TFF341" s="85"/>
      <c r="TFG341" s="82"/>
      <c r="TFH341" s="82"/>
      <c r="TFI341" s="86"/>
      <c r="TFJ341" s="82"/>
      <c r="TFK341" s="82"/>
      <c r="TFL341" s="82"/>
      <c r="TFM341" s="82"/>
      <c r="TFN341" s="83"/>
      <c r="TFO341" s="98"/>
      <c r="TFP341" s="85"/>
      <c r="TFQ341" s="82"/>
      <c r="TFR341" s="82"/>
      <c r="TFS341" s="86"/>
      <c r="TFT341" s="82"/>
      <c r="TFU341" s="82"/>
      <c r="TFV341" s="82"/>
      <c r="TFW341" s="82"/>
      <c r="TFX341" s="83"/>
      <c r="TFY341" s="98"/>
      <c r="TFZ341" s="85"/>
      <c r="TGA341" s="82"/>
      <c r="TGB341" s="82"/>
      <c r="TGC341" s="86"/>
      <c r="TGD341" s="82"/>
      <c r="TGE341" s="82"/>
      <c r="TGF341" s="82"/>
      <c r="TGG341" s="82"/>
      <c r="TGH341" s="83"/>
      <c r="TGI341" s="98"/>
      <c r="TGJ341" s="85"/>
      <c r="TGK341" s="82"/>
      <c r="TGL341" s="82"/>
      <c r="TGM341" s="86"/>
      <c r="TGN341" s="82"/>
      <c r="TGO341" s="82"/>
      <c r="TGP341" s="82"/>
      <c r="TGQ341" s="82"/>
      <c r="TGR341" s="83"/>
      <c r="TGS341" s="98"/>
      <c r="TGT341" s="85"/>
      <c r="TGU341" s="82"/>
      <c r="TGV341" s="82"/>
      <c r="TGW341" s="86"/>
      <c r="TGX341" s="82"/>
      <c r="TGY341" s="82"/>
      <c r="TGZ341" s="82"/>
      <c r="THA341" s="82"/>
      <c r="THB341" s="83"/>
      <c r="THC341" s="98"/>
      <c r="THD341" s="85"/>
      <c r="THE341" s="82"/>
      <c r="THF341" s="82"/>
      <c r="THG341" s="86"/>
      <c r="THH341" s="82"/>
      <c r="THI341" s="82"/>
      <c r="THJ341" s="82"/>
      <c r="THK341" s="82"/>
      <c r="THL341" s="83"/>
      <c r="THM341" s="98"/>
      <c r="THN341" s="85"/>
      <c r="THO341" s="82"/>
      <c r="THP341" s="82"/>
      <c r="THQ341" s="86"/>
      <c r="THR341" s="82"/>
      <c r="THS341" s="82"/>
      <c r="THT341" s="82"/>
      <c r="THU341" s="82"/>
      <c r="THV341" s="83"/>
      <c r="THW341" s="98"/>
      <c r="THX341" s="85"/>
      <c r="THY341" s="82"/>
      <c r="THZ341" s="82"/>
      <c r="TIA341" s="86"/>
      <c r="TIB341" s="82"/>
      <c r="TIC341" s="82"/>
      <c r="TID341" s="82"/>
      <c r="TIE341" s="82"/>
      <c r="TIF341" s="83"/>
      <c r="TIG341" s="98"/>
      <c r="TIH341" s="85"/>
      <c r="TII341" s="82"/>
      <c r="TIJ341" s="82"/>
      <c r="TIK341" s="86"/>
      <c r="TIL341" s="82"/>
      <c r="TIM341" s="82"/>
      <c r="TIN341" s="82"/>
      <c r="TIO341" s="82"/>
      <c r="TIP341" s="83"/>
      <c r="TIQ341" s="98"/>
      <c r="TIR341" s="85"/>
      <c r="TIS341" s="82"/>
      <c r="TIT341" s="82"/>
      <c r="TIU341" s="86"/>
      <c r="TIV341" s="82"/>
      <c r="TIW341" s="82"/>
      <c r="TIX341" s="82"/>
      <c r="TIY341" s="82"/>
      <c r="TIZ341" s="83"/>
      <c r="TJA341" s="98"/>
      <c r="TJB341" s="85"/>
      <c r="TJC341" s="82"/>
      <c r="TJD341" s="82"/>
      <c r="TJE341" s="86"/>
      <c r="TJF341" s="82"/>
      <c r="TJG341" s="82"/>
      <c r="TJH341" s="82"/>
      <c r="TJI341" s="82"/>
      <c r="TJJ341" s="83"/>
      <c r="TJK341" s="98"/>
      <c r="TJL341" s="85"/>
      <c r="TJM341" s="82"/>
      <c r="TJN341" s="82"/>
      <c r="TJO341" s="86"/>
      <c r="TJP341" s="82"/>
      <c r="TJQ341" s="82"/>
      <c r="TJR341" s="82"/>
      <c r="TJS341" s="82"/>
      <c r="TJT341" s="83"/>
      <c r="TJU341" s="98"/>
      <c r="TJV341" s="85"/>
      <c r="TJW341" s="82"/>
      <c r="TJX341" s="82"/>
      <c r="TJY341" s="86"/>
      <c r="TJZ341" s="82"/>
      <c r="TKA341" s="82"/>
      <c r="TKB341" s="82"/>
      <c r="TKC341" s="82"/>
      <c r="TKD341" s="83"/>
      <c r="TKE341" s="98"/>
      <c r="TKF341" s="85"/>
      <c r="TKG341" s="82"/>
      <c r="TKH341" s="82"/>
      <c r="TKI341" s="86"/>
      <c r="TKJ341" s="82"/>
      <c r="TKK341" s="82"/>
      <c r="TKL341" s="82"/>
      <c r="TKM341" s="82"/>
      <c r="TKN341" s="83"/>
      <c r="TKO341" s="98"/>
      <c r="TKP341" s="85"/>
      <c r="TKQ341" s="82"/>
      <c r="TKR341" s="82"/>
      <c r="TKS341" s="86"/>
      <c r="TKT341" s="82"/>
      <c r="TKU341" s="82"/>
      <c r="TKV341" s="82"/>
      <c r="TKW341" s="82"/>
      <c r="TKX341" s="83"/>
      <c r="TKY341" s="98"/>
      <c r="TKZ341" s="85"/>
      <c r="TLA341" s="82"/>
      <c r="TLB341" s="82"/>
      <c r="TLC341" s="86"/>
      <c r="TLD341" s="82"/>
      <c r="TLE341" s="82"/>
      <c r="TLF341" s="82"/>
      <c r="TLG341" s="82"/>
      <c r="TLH341" s="83"/>
      <c r="TLI341" s="98"/>
      <c r="TLJ341" s="85"/>
      <c r="TLK341" s="82"/>
      <c r="TLL341" s="82"/>
      <c r="TLM341" s="86"/>
      <c r="TLN341" s="82"/>
      <c r="TLO341" s="82"/>
      <c r="TLP341" s="82"/>
      <c r="TLQ341" s="82"/>
      <c r="TLR341" s="83"/>
      <c r="TLS341" s="98"/>
      <c r="TLT341" s="85"/>
      <c r="TLU341" s="82"/>
      <c r="TLV341" s="82"/>
      <c r="TLW341" s="86"/>
      <c r="TLX341" s="82"/>
      <c r="TLY341" s="82"/>
      <c r="TLZ341" s="82"/>
      <c r="TMA341" s="82"/>
      <c r="TMB341" s="83"/>
      <c r="TMC341" s="98"/>
      <c r="TMD341" s="85"/>
      <c r="TME341" s="82"/>
      <c r="TMF341" s="82"/>
      <c r="TMG341" s="86"/>
      <c r="TMH341" s="82"/>
      <c r="TMI341" s="82"/>
      <c r="TMJ341" s="82"/>
      <c r="TMK341" s="82"/>
      <c r="TML341" s="83"/>
      <c r="TMM341" s="98"/>
      <c r="TMN341" s="85"/>
      <c r="TMO341" s="82"/>
      <c r="TMP341" s="82"/>
      <c r="TMQ341" s="86"/>
      <c r="TMR341" s="82"/>
      <c r="TMS341" s="82"/>
      <c r="TMT341" s="82"/>
      <c r="TMU341" s="82"/>
      <c r="TMV341" s="83"/>
      <c r="TMW341" s="98"/>
      <c r="TMX341" s="85"/>
      <c r="TMY341" s="82"/>
      <c r="TMZ341" s="82"/>
      <c r="TNA341" s="86"/>
      <c r="TNB341" s="82"/>
      <c r="TNC341" s="82"/>
      <c r="TND341" s="82"/>
      <c r="TNE341" s="82"/>
      <c r="TNF341" s="83"/>
      <c r="TNG341" s="98"/>
      <c r="TNH341" s="85"/>
      <c r="TNI341" s="82"/>
      <c r="TNJ341" s="82"/>
      <c r="TNK341" s="86"/>
      <c r="TNL341" s="82"/>
      <c r="TNM341" s="82"/>
      <c r="TNN341" s="82"/>
      <c r="TNO341" s="82"/>
      <c r="TNP341" s="83"/>
      <c r="TNQ341" s="98"/>
      <c r="TNR341" s="85"/>
      <c r="TNS341" s="82"/>
      <c r="TNT341" s="82"/>
      <c r="TNU341" s="86"/>
      <c r="TNV341" s="82"/>
      <c r="TNW341" s="82"/>
      <c r="TNX341" s="82"/>
      <c r="TNY341" s="82"/>
      <c r="TNZ341" s="83"/>
      <c r="TOA341" s="98"/>
      <c r="TOB341" s="85"/>
      <c r="TOC341" s="82"/>
      <c r="TOD341" s="82"/>
      <c r="TOE341" s="86"/>
      <c r="TOF341" s="82"/>
      <c r="TOG341" s="82"/>
      <c r="TOH341" s="82"/>
      <c r="TOI341" s="82"/>
      <c r="TOJ341" s="83"/>
      <c r="TOK341" s="98"/>
      <c r="TOL341" s="85"/>
      <c r="TOM341" s="82"/>
      <c r="TON341" s="82"/>
      <c r="TOO341" s="86"/>
      <c r="TOP341" s="82"/>
      <c r="TOQ341" s="82"/>
      <c r="TOR341" s="82"/>
      <c r="TOS341" s="82"/>
      <c r="TOT341" s="83"/>
      <c r="TOU341" s="98"/>
      <c r="TOV341" s="85"/>
      <c r="TOW341" s="82"/>
      <c r="TOX341" s="82"/>
      <c r="TOY341" s="86"/>
      <c r="TOZ341" s="82"/>
      <c r="TPA341" s="82"/>
      <c r="TPB341" s="82"/>
      <c r="TPC341" s="82"/>
      <c r="TPD341" s="83"/>
      <c r="TPE341" s="98"/>
      <c r="TPF341" s="85"/>
      <c r="TPG341" s="82"/>
      <c r="TPH341" s="82"/>
      <c r="TPI341" s="86"/>
      <c r="TPJ341" s="82"/>
      <c r="TPK341" s="82"/>
      <c r="TPL341" s="82"/>
      <c r="TPM341" s="82"/>
      <c r="TPN341" s="83"/>
      <c r="TPO341" s="98"/>
      <c r="TPP341" s="85"/>
      <c r="TPQ341" s="82"/>
      <c r="TPR341" s="82"/>
      <c r="TPS341" s="86"/>
      <c r="TPT341" s="82"/>
      <c r="TPU341" s="82"/>
      <c r="TPV341" s="82"/>
      <c r="TPW341" s="82"/>
      <c r="TPX341" s="83"/>
      <c r="TPY341" s="98"/>
      <c r="TPZ341" s="85"/>
      <c r="TQA341" s="82"/>
      <c r="TQB341" s="82"/>
      <c r="TQC341" s="86"/>
      <c r="TQD341" s="82"/>
      <c r="TQE341" s="82"/>
      <c r="TQF341" s="82"/>
      <c r="TQG341" s="82"/>
      <c r="TQH341" s="83"/>
      <c r="TQI341" s="98"/>
      <c r="TQJ341" s="85"/>
      <c r="TQK341" s="82"/>
      <c r="TQL341" s="82"/>
      <c r="TQM341" s="86"/>
      <c r="TQN341" s="82"/>
      <c r="TQO341" s="82"/>
      <c r="TQP341" s="82"/>
      <c r="TQQ341" s="82"/>
      <c r="TQR341" s="83"/>
      <c r="TQS341" s="98"/>
      <c r="TQT341" s="85"/>
      <c r="TQU341" s="82"/>
      <c r="TQV341" s="82"/>
      <c r="TQW341" s="86"/>
      <c r="TQX341" s="82"/>
      <c r="TQY341" s="82"/>
      <c r="TQZ341" s="82"/>
      <c r="TRA341" s="82"/>
      <c r="TRB341" s="83"/>
      <c r="TRC341" s="98"/>
      <c r="TRD341" s="85"/>
      <c r="TRE341" s="82"/>
      <c r="TRF341" s="82"/>
      <c r="TRG341" s="86"/>
      <c r="TRH341" s="82"/>
      <c r="TRI341" s="82"/>
      <c r="TRJ341" s="82"/>
      <c r="TRK341" s="82"/>
      <c r="TRL341" s="83"/>
      <c r="TRM341" s="98"/>
      <c r="TRN341" s="85"/>
      <c r="TRO341" s="82"/>
      <c r="TRP341" s="82"/>
      <c r="TRQ341" s="86"/>
      <c r="TRR341" s="82"/>
      <c r="TRS341" s="82"/>
      <c r="TRT341" s="82"/>
      <c r="TRU341" s="82"/>
      <c r="TRV341" s="83"/>
      <c r="TRW341" s="98"/>
      <c r="TRX341" s="85"/>
      <c r="TRY341" s="82"/>
      <c r="TRZ341" s="82"/>
      <c r="TSA341" s="86"/>
      <c r="TSB341" s="82"/>
      <c r="TSC341" s="82"/>
      <c r="TSD341" s="82"/>
      <c r="TSE341" s="82"/>
      <c r="TSF341" s="83"/>
      <c r="TSG341" s="98"/>
      <c r="TSH341" s="85"/>
      <c r="TSI341" s="82"/>
      <c r="TSJ341" s="82"/>
      <c r="TSK341" s="86"/>
      <c r="TSL341" s="82"/>
      <c r="TSM341" s="82"/>
      <c r="TSN341" s="82"/>
      <c r="TSO341" s="82"/>
      <c r="TSP341" s="83"/>
      <c r="TSQ341" s="98"/>
      <c r="TSR341" s="85"/>
      <c r="TSS341" s="82"/>
      <c r="TST341" s="82"/>
      <c r="TSU341" s="86"/>
      <c r="TSV341" s="82"/>
      <c r="TSW341" s="82"/>
      <c r="TSX341" s="82"/>
      <c r="TSY341" s="82"/>
      <c r="TSZ341" s="83"/>
      <c r="TTA341" s="98"/>
      <c r="TTB341" s="85"/>
      <c r="TTC341" s="82"/>
      <c r="TTD341" s="82"/>
      <c r="TTE341" s="86"/>
      <c r="TTF341" s="82"/>
      <c r="TTG341" s="82"/>
      <c r="TTH341" s="82"/>
      <c r="TTI341" s="82"/>
      <c r="TTJ341" s="83"/>
      <c r="TTK341" s="98"/>
      <c r="TTL341" s="85"/>
      <c r="TTM341" s="82"/>
      <c r="TTN341" s="82"/>
      <c r="TTO341" s="86"/>
      <c r="TTP341" s="82"/>
      <c r="TTQ341" s="82"/>
      <c r="TTR341" s="82"/>
      <c r="TTS341" s="82"/>
      <c r="TTT341" s="83"/>
      <c r="TTU341" s="98"/>
      <c r="TTV341" s="85"/>
      <c r="TTW341" s="82"/>
      <c r="TTX341" s="82"/>
      <c r="TTY341" s="86"/>
      <c r="TTZ341" s="82"/>
      <c r="TUA341" s="82"/>
      <c r="TUB341" s="82"/>
      <c r="TUC341" s="82"/>
      <c r="TUD341" s="83"/>
      <c r="TUE341" s="98"/>
      <c r="TUF341" s="85"/>
      <c r="TUG341" s="82"/>
      <c r="TUH341" s="82"/>
      <c r="TUI341" s="86"/>
      <c r="TUJ341" s="82"/>
      <c r="TUK341" s="82"/>
      <c r="TUL341" s="82"/>
      <c r="TUM341" s="82"/>
      <c r="TUN341" s="83"/>
      <c r="TUO341" s="98"/>
      <c r="TUP341" s="85"/>
      <c r="TUQ341" s="82"/>
      <c r="TUR341" s="82"/>
      <c r="TUS341" s="86"/>
      <c r="TUT341" s="82"/>
      <c r="TUU341" s="82"/>
      <c r="TUV341" s="82"/>
      <c r="TUW341" s="82"/>
      <c r="TUX341" s="83"/>
      <c r="TUY341" s="98"/>
      <c r="TUZ341" s="85"/>
      <c r="TVA341" s="82"/>
      <c r="TVB341" s="82"/>
      <c r="TVC341" s="86"/>
      <c r="TVD341" s="82"/>
      <c r="TVE341" s="82"/>
      <c r="TVF341" s="82"/>
      <c r="TVG341" s="82"/>
      <c r="TVH341" s="83"/>
      <c r="TVI341" s="98"/>
      <c r="TVJ341" s="85"/>
      <c r="TVK341" s="82"/>
      <c r="TVL341" s="82"/>
      <c r="TVM341" s="86"/>
      <c r="TVN341" s="82"/>
      <c r="TVO341" s="82"/>
      <c r="TVP341" s="82"/>
      <c r="TVQ341" s="82"/>
      <c r="TVR341" s="83"/>
      <c r="TVS341" s="98"/>
      <c r="TVT341" s="85"/>
      <c r="TVU341" s="82"/>
      <c r="TVV341" s="82"/>
      <c r="TVW341" s="86"/>
      <c r="TVX341" s="82"/>
      <c r="TVY341" s="82"/>
      <c r="TVZ341" s="82"/>
      <c r="TWA341" s="82"/>
      <c r="TWB341" s="83"/>
      <c r="TWC341" s="98"/>
      <c r="TWD341" s="85"/>
      <c r="TWE341" s="82"/>
      <c r="TWF341" s="82"/>
      <c r="TWG341" s="86"/>
      <c r="TWH341" s="82"/>
      <c r="TWI341" s="82"/>
      <c r="TWJ341" s="82"/>
      <c r="TWK341" s="82"/>
      <c r="TWL341" s="83"/>
      <c r="TWM341" s="98"/>
      <c r="TWN341" s="85"/>
      <c r="TWO341" s="82"/>
      <c r="TWP341" s="82"/>
      <c r="TWQ341" s="86"/>
      <c r="TWR341" s="82"/>
      <c r="TWS341" s="82"/>
      <c r="TWT341" s="82"/>
      <c r="TWU341" s="82"/>
      <c r="TWV341" s="83"/>
      <c r="TWW341" s="98"/>
      <c r="TWX341" s="85"/>
      <c r="TWY341" s="82"/>
      <c r="TWZ341" s="82"/>
      <c r="TXA341" s="86"/>
      <c r="TXB341" s="82"/>
      <c r="TXC341" s="82"/>
      <c r="TXD341" s="82"/>
      <c r="TXE341" s="82"/>
      <c r="TXF341" s="83"/>
      <c r="TXG341" s="98"/>
      <c r="TXH341" s="85"/>
      <c r="TXI341" s="82"/>
      <c r="TXJ341" s="82"/>
      <c r="TXK341" s="86"/>
      <c r="TXL341" s="82"/>
      <c r="TXM341" s="82"/>
      <c r="TXN341" s="82"/>
      <c r="TXO341" s="82"/>
      <c r="TXP341" s="83"/>
      <c r="TXQ341" s="98"/>
      <c r="TXR341" s="85"/>
      <c r="TXS341" s="82"/>
      <c r="TXT341" s="82"/>
      <c r="TXU341" s="86"/>
      <c r="TXV341" s="82"/>
      <c r="TXW341" s="82"/>
      <c r="TXX341" s="82"/>
      <c r="TXY341" s="82"/>
      <c r="TXZ341" s="83"/>
      <c r="TYA341" s="98"/>
      <c r="TYB341" s="85"/>
      <c r="TYC341" s="82"/>
      <c r="TYD341" s="82"/>
      <c r="TYE341" s="86"/>
      <c r="TYF341" s="82"/>
      <c r="TYG341" s="82"/>
      <c r="TYH341" s="82"/>
      <c r="TYI341" s="82"/>
      <c r="TYJ341" s="83"/>
      <c r="TYK341" s="98"/>
      <c r="TYL341" s="85"/>
      <c r="TYM341" s="82"/>
      <c r="TYN341" s="82"/>
      <c r="TYO341" s="86"/>
      <c r="TYP341" s="82"/>
      <c r="TYQ341" s="82"/>
      <c r="TYR341" s="82"/>
      <c r="TYS341" s="82"/>
      <c r="TYT341" s="83"/>
      <c r="TYU341" s="98"/>
      <c r="TYV341" s="85"/>
      <c r="TYW341" s="82"/>
      <c r="TYX341" s="82"/>
      <c r="TYY341" s="86"/>
      <c r="TYZ341" s="82"/>
      <c r="TZA341" s="82"/>
      <c r="TZB341" s="82"/>
      <c r="TZC341" s="82"/>
      <c r="TZD341" s="83"/>
      <c r="TZE341" s="98"/>
      <c r="TZF341" s="85"/>
      <c r="TZG341" s="82"/>
      <c r="TZH341" s="82"/>
      <c r="TZI341" s="86"/>
      <c r="TZJ341" s="82"/>
      <c r="TZK341" s="82"/>
      <c r="TZL341" s="82"/>
      <c r="TZM341" s="82"/>
      <c r="TZN341" s="83"/>
      <c r="TZO341" s="98"/>
      <c r="TZP341" s="85"/>
      <c r="TZQ341" s="82"/>
      <c r="TZR341" s="82"/>
      <c r="TZS341" s="86"/>
      <c r="TZT341" s="82"/>
      <c r="TZU341" s="82"/>
      <c r="TZV341" s="82"/>
      <c r="TZW341" s="82"/>
      <c r="TZX341" s="83"/>
      <c r="TZY341" s="98"/>
      <c r="TZZ341" s="85"/>
      <c r="UAA341" s="82"/>
      <c r="UAB341" s="82"/>
      <c r="UAC341" s="86"/>
      <c r="UAD341" s="82"/>
      <c r="UAE341" s="82"/>
      <c r="UAF341" s="82"/>
      <c r="UAG341" s="82"/>
      <c r="UAH341" s="83"/>
      <c r="UAI341" s="98"/>
      <c r="UAJ341" s="85"/>
      <c r="UAK341" s="82"/>
      <c r="UAL341" s="82"/>
      <c r="UAM341" s="86"/>
      <c r="UAN341" s="82"/>
      <c r="UAO341" s="82"/>
      <c r="UAP341" s="82"/>
      <c r="UAQ341" s="82"/>
      <c r="UAR341" s="83"/>
      <c r="UAS341" s="98"/>
      <c r="UAT341" s="85"/>
      <c r="UAU341" s="82"/>
      <c r="UAV341" s="82"/>
      <c r="UAW341" s="86"/>
      <c r="UAX341" s="82"/>
      <c r="UAY341" s="82"/>
      <c r="UAZ341" s="82"/>
      <c r="UBA341" s="82"/>
      <c r="UBB341" s="83"/>
      <c r="UBC341" s="98"/>
      <c r="UBD341" s="85"/>
      <c r="UBE341" s="82"/>
      <c r="UBF341" s="82"/>
      <c r="UBG341" s="86"/>
      <c r="UBH341" s="82"/>
      <c r="UBI341" s="82"/>
      <c r="UBJ341" s="82"/>
      <c r="UBK341" s="82"/>
      <c r="UBL341" s="83"/>
      <c r="UBM341" s="98"/>
      <c r="UBN341" s="85"/>
      <c r="UBO341" s="82"/>
      <c r="UBP341" s="82"/>
      <c r="UBQ341" s="86"/>
      <c r="UBR341" s="82"/>
      <c r="UBS341" s="82"/>
      <c r="UBT341" s="82"/>
      <c r="UBU341" s="82"/>
      <c r="UBV341" s="83"/>
      <c r="UBW341" s="98"/>
      <c r="UBX341" s="85"/>
      <c r="UBY341" s="82"/>
      <c r="UBZ341" s="82"/>
      <c r="UCA341" s="86"/>
      <c r="UCB341" s="82"/>
      <c r="UCC341" s="82"/>
      <c r="UCD341" s="82"/>
      <c r="UCE341" s="82"/>
      <c r="UCF341" s="83"/>
      <c r="UCG341" s="98"/>
      <c r="UCH341" s="85"/>
      <c r="UCI341" s="82"/>
      <c r="UCJ341" s="82"/>
      <c r="UCK341" s="86"/>
      <c r="UCL341" s="82"/>
      <c r="UCM341" s="82"/>
      <c r="UCN341" s="82"/>
      <c r="UCO341" s="82"/>
      <c r="UCP341" s="83"/>
      <c r="UCQ341" s="98"/>
      <c r="UCR341" s="85"/>
      <c r="UCS341" s="82"/>
      <c r="UCT341" s="82"/>
      <c r="UCU341" s="86"/>
      <c r="UCV341" s="82"/>
      <c r="UCW341" s="82"/>
      <c r="UCX341" s="82"/>
      <c r="UCY341" s="82"/>
      <c r="UCZ341" s="83"/>
      <c r="UDA341" s="98"/>
      <c r="UDB341" s="85"/>
      <c r="UDC341" s="82"/>
      <c r="UDD341" s="82"/>
      <c r="UDE341" s="86"/>
      <c r="UDF341" s="82"/>
      <c r="UDG341" s="82"/>
      <c r="UDH341" s="82"/>
      <c r="UDI341" s="82"/>
      <c r="UDJ341" s="83"/>
      <c r="UDK341" s="98"/>
      <c r="UDL341" s="85"/>
      <c r="UDM341" s="82"/>
      <c r="UDN341" s="82"/>
      <c r="UDO341" s="86"/>
      <c r="UDP341" s="82"/>
      <c r="UDQ341" s="82"/>
      <c r="UDR341" s="82"/>
      <c r="UDS341" s="82"/>
      <c r="UDT341" s="83"/>
      <c r="UDU341" s="98"/>
      <c r="UDV341" s="85"/>
      <c r="UDW341" s="82"/>
      <c r="UDX341" s="82"/>
      <c r="UDY341" s="86"/>
      <c r="UDZ341" s="82"/>
      <c r="UEA341" s="82"/>
      <c r="UEB341" s="82"/>
      <c r="UEC341" s="82"/>
      <c r="UED341" s="83"/>
      <c r="UEE341" s="98"/>
      <c r="UEF341" s="85"/>
      <c r="UEG341" s="82"/>
      <c r="UEH341" s="82"/>
      <c r="UEI341" s="86"/>
      <c r="UEJ341" s="82"/>
      <c r="UEK341" s="82"/>
      <c r="UEL341" s="82"/>
      <c r="UEM341" s="82"/>
      <c r="UEN341" s="83"/>
      <c r="UEO341" s="98"/>
      <c r="UEP341" s="85"/>
      <c r="UEQ341" s="82"/>
      <c r="UER341" s="82"/>
      <c r="UES341" s="86"/>
      <c r="UET341" s="82"/>
      <c r="UEU341" s="82"/>
      <c r="UEV341" s="82"/>
      <c r="UEW341" s="82"/>
      <c r="UEX341" s="83"/>
      <c r="UEY341" s="98"/>
      <c r="UEZ341" s="85"/>
      <c r="UFA341" s="82"/>
      <c r="UFB341" s="82"/>
      <c r="UFC341" s="86"/>
      <c r="UFD341" s="82"/>
      <c r="UFE341" s="82"/>
      <c r="UFF341" s="82"/>
      <c r="UFG341" s="82"/>
      <c r="UFH341" s="83"/>
      <c r="UFI341" s="98"/>
      <c r="UFJ341" s="85"/>
      <c r="UFK341" s="82"/>
      <c r="UFL341" s="82"/>
      <c r="UFM341" s="86"/>
      <c r="UFN341" s="82"/>
      <c r="UFO341" s="82"/>
      <c r="UFP341" s="82"/>
      <c r="UFQ341" s="82"/>
      <c r="UFR341" s="83"/>
      <c r="UFS341" s="98"/>
      <c r="UFT341" s="85"/>
      <c r="UFU341" s="82"/>
      <c r="UFV341" s="82"/>
      <c r="UFW341" s="86"/>
      <c r="UFX341" s="82"/>
      <c r="UFY341" s="82"/>
      <c r="UFZ341" s="82"/>
      <c r="UGA341" s="82"/>
      <c r="UGB341" s="83"/>
      <c r="UGC341" s="98"/>
      <c r="UGD341" s="85"/>
      <c r="UGE341" s="82"/>
      <c r="UGF341" s="82"/>
      <c r="UGG341" s="86"/>
      <c r="UGH341" s="82"/>
      <c r="UGI341" s="82"/>
      <c r="UGJ341" s="82"/>
      <c r="UGK341" s="82"/>
      <c r="UGL341" s="83"/>
      <c r="UGM341" s="98"/>
      <c r="UGN341" s="85"/>
      <c r="UGO341" s="82"/>
      <c r="UGP341" s="82"/>
      <c r="UGQ341" s="86"/>
      <c r="UGR341" s="82"/>
      <c r="UGS341" s="82"/>
      <c r="UGT341" s="82"/>
      <c r="UGU341" s="82"/>
      <c r="UGV341" s="83"/>
      <c r="UGW341" s="98"/>
      <c r="UGX341" s="85"/>
      <c r="UGY341" s="82"/>
      <c r="UGZ341" s="82"/>
      <c r="UHA341" s="86"/>
      <c r="UHB341" s="82"/>
      <c r="UHC341" s="82"/>
      <c r="UHD341" s="82"/>
      <c r="UHE341" s="82"/>
      <c r="UHF341" s="83"/>
      <c r="UHG341" s="98"/>
      <c r="UHH341" s="85"/>
      <c r="UHI341" s="82"/>
      <c r="UHJ341" s="82"/>
      <c r="UHK341" s="86"/>
      <c r="UHL341" s="82"/>
      <c r="UHM341" s="82"/>
      <c r="UHN341" s="82"/>
      <c r="UHO341" s="82"/>
      <c r="UHP341" s="83"/>
      <c r="UHQ341" s="98"/>
      <c r="UHR341" s="85"/>
      <c r="UHS341" s="82"/>
      <c r="UHT341" s="82"/>
      <c r="UHU341" s="86"/>
      <c r="UHV341" s="82"/>
      <c r="UHW341" s="82"/>
      <c r="UHX341" s="82"/>
      <c r="UHY341" s="82"/>
      <c r="UHZ341" s="83"/>
      <c r="UIA341" s="98"/>
      <c r="UIB341" s="85"/>
      <c r="UIC341" s="82"/>
      <c r="UID341" s="82"/>
      <c r="UIE341" s="86"/>
      <c r="UIF341" s="82"/>
      <c r="UIG341" s="82"/>
      <c r="UIH341" s="82"/>
      <c r="UII341" s="82"/>
      <c r="UIJ341" s="83"/>
      <c r="UIK341" s="98"/>
      <c r="UIL341" s="85"/>
      <c r="UIM341" s="82"/>
      <c r="UIN341" s="82"/>
      <c r="UIO341" s="86"/>
      <c r="UIP341" s="82"/>
      <c r="UIQ341" s="82"/>
      <c r="UIR341" s="82"/>
      <c r="UIS341" s="82"/>
      <c r="UIT341" s="83"/>
      <c r="UIU341" s="98"/>
      <c r="UIV341" s="85"/>
      <c r="UIW341" s="82"/>
      <c r="UIX341" s="82"/>
      <c r="UIY341" s="86"/>
      <c r="UIZ341" s="82"/>
      <c r="UJA341" s="82"/>
      <c r="UJB341" s="82"/>
      <c r="UJC341" s="82"/>
      <c r="UJD341" s="83"/>
      <c r="UJE341" s="98"/>
      <c r="UJF341" s="85"/>
      <c r="UJG341" s="82"/>
      <c r="UJH341" s="82"/>
      <c r="UJI341" s="86"/>
      <c r="UJJ341" s="82"/>
      <c r="UJK341" s="82"/>
      <c r="UJL341" s="82"/>
      <c r="UJM341" s="82"/>
      <c r="UJN341" s="83"/>
      <c r="UJO341" s="98"/>
      <c r="UJP341" s="85"/>
      <c r="UJQ341" s="82"/>
      <c r="UJR341" s="82"/>
      <c r="UJS341" s="86"/>
      <c r="UJT341" s="82"/>
      <c r="UJU341" s="82"/>
      <c r="UJV341" s="82"/>
      <c r="UJW341" s="82"/>
      <c r="UJX341" s="83"/>
      <c r="UJY341" s="98"/>
      <c r="UJZ341" s="85"/>
      <c r="UKA341" s="82"/>
      <c r="UKB341" s="82"/>
      <c r="UKC341" s="86"/>
      <c r="UKD341" s="82"/>
      <c r="UKE341" s="82"/>
      <c r="UKF341" s="82"/>
      <c r="UKG341" s="82"/>
      <c r="UKH341" s="83"/>
      <c r="UKI341" s="98"/>
      <c r="UKJ341" s="85"/>
      <c r="UKK341" s="82"/>
      <c r="UKL341" s="82"/>
      <c r="UKM341" s="86"/>
      <c r="UKN341" s="82"/>
      <c r="UKO341" s="82"/>
      <c r="UKP341" s="82"/>
      <c r="UKQ341" s="82"/>
      <c r="UKR341" s="83"/>
      <c r="UKS341" s="98"/>
      <c r="UKT341" s="85"/>
      <c r="UKU341" s="82"/>
      <c r="UKV341" s="82"/>
      <c r="UKW341" s="86"/>
      <c r="UKX341" s="82"/>
      <c r="UKY341" s="82"/>
      <c r="UKZ341" s="82"/>
      <c r="ULA341" s="82"/>
      <c r="ULB341" s="83"/>
      <c r="ULC341" s="98"/>
      <c r="ULD341" s="85"/>
      <c r="ULE341" s="82"/>
      <c r="ULF341" s="82"/>
      <c r="ULG341" s="86"/>
      <c r="ULH341" s="82"/>
      <c r="ULI341" s="82"/>
      <c r="ULJ341" s="82"/>
      <c r="ULK341" s="82"/>
      <c r="ULL341" s="83"/>
      <c r="ULM341" s="98"/>
      <c r="ULN341" s="85"/>
      <c r="ULO341" s="82"/>
      <c r="ULP341" s="82"/>
      <c r="ULQ341" s="86"/>
      <c r="ULR341" s="82"/>
      <c r="ULS341" s="82"/>
      <c r="ULT341" s="82"/>
      <c r="ULU341" s="82"/>
      <c r="ULV341" s="83"/>
      <c r="ULW341" s="98"/>
      <c r="ULX341" s="85"/>
      <c r="ULY341" s="82"/>
      <c r="ULZ341" s="82"/>
      <c r="UMA341" s="86"/>
      <c r="UMB341" s="82"/>
      <c r="UMC341" s="82"/>
      <c r="UMD341" s="82"/>
      <c r="UME341" s="82"/>
      <c r="UMF341" s="83"/>
      <c r="UMG341" s="98"/>
      <c r="UMH341" s="85"/>
      <c r="UMI341" s="82"/>
      <c r="UMJ341" s="82"/>
      <c r="UMK341" s="86"/>
      <c r="UML341" s="82"/>
      <c r="UMM341" s="82"/>
      <c r="UMN341" s="82"/>
      <c r="UMO341" s="82"/>
      <c r="UMP341" s="83"/>
      <c r="UMQ341" s="98"/>
      <c r="UMR341" s="85"/>
      <c r="UMS341" s="82"/>
      <c r="UMT341" s="82"/>
      <c r="UMU341" s="86"/>
      <c r="UMV341" s="82"/>
      <c r="UMW341" s="82"/>
      <c r="UMX341" s="82"/>
      <c r="UMY341" s="82"/>
      <c r="UMZ341" s="83"/>
      <c r="UNA341" s="98"/>
      <c r="UNB341" s="85"/>
      <c r="UNC341" s="82"/>
      <c r="UND341" s="82"/>
      <c r="UNE341" s="86"/>
      <c r="UNF341" s="82"/>
      <c r="UNG341" s="82"/>
      <c r="UNH341" s="82"/>
      <c r="UNI341" s="82"/>
      <c r="UNJ341" s="83"/>
      <c r="UNK341" s="98"/>
      <c r="UNL341" s="85"/>
      <c r="UNM341" s="82"/>
      <c r="UNN341" s="82"/>
      <c r="UNO341" s="86"/>
      <c r="UNP341" s="82"/>
      <c r="UNQ341" s="82"/>
      <c r="UNR341" s="82"/>
      <c r="UNS341" s="82"/>
      <c r="UNT341" s="83"/>
      <c r="UNU341" s="98"/>
      <c r="UNV341" s="85"/>
      <c r="UNW341" s="82"/>
      <c r="UNX341" s="82"/>
      <c r="UNY341" s="86"/>
      <c r="UNZ341" s="82"/>
      <c r="UOA341" s="82"/>
      <c r="UOB341" s="82"/>
      <c r="UOC341" s="82"/>
      <c r="UOD341" s="83"/>
      <c r="UOE341" s="98"/>
      <c r="UOF341" s="85"/>
      <c r="UOG341" s="82"/>
      <c r="UOH341" s="82"/>
      <c r="UOI341" s="86"/>
      <c r="UOJ341" s="82"/>
      <c r="UOK341" s="82"/>
      <c r="UOL341" s="82"/>
      <c r="UOM341" s="82"/>
      <c r="UON341" s="83"/>
      <c r="UOO341" s="98"/>
      <c r="UOP341" s="85"/>
      <c r="UOQ341" s="82"/>
      <c r="UOR341" s="82"/>
      <c r="UOS341" s="86"/>
      <c r="UOT341" s="82"/>
      <c r="UOU341" s="82"/>
      <c r="UOV341" s="82"/>
      <c r="UOW341" s="82"/>
      <c r="UOX341" s="83"/>
      <c r="UOY341" s="98"/>
      <c r="UOZ341" s="85"/>
      <c r="UPA341" s="82"/>
      <c r="UPB341" s="82"/>
      <c r="UPC341" s="86"/>
      <c r="UPD341" s="82"/>
      <c r="UPE341" s="82"/>
      <c r="UPF341" s="82"/>
      <c r="UPG341" s="82"/>
      <c r="UPH341" s="83"/>
      <c r="UPI341" s="98"/>
      <c r="UPJ341" s="85"/>
      <c r="UPK341" s="82"/>
      <c r="UPL341" s="82"/>
      <c r="UPM341" s="86"/>
      <c r="UPN341" s="82"/>
      <c r="UPO341" s="82"/>
      <c r="UPP341" s="82"/>
      <c r="UPQ341" s="82"/>
      <c r="UPR341" s="83"/>
      <c r="UPS341" s="98"/>
      <c r="UPT341" s="85"/>
      <c r="UPU341" s="82"/>
      <c r="UPV341" s="82"/>
      <c r="UPW341" s="86"/>
      <c r="UPX341" s="82"/>
      <c r="UPY341" s="82"/>
      <c r="UPZ341" s="82"/>
      <c r="UQA341" s="82"/>
      <c r="UQB341" s="83"/>
      <c r="UQC341" s="98"/>
      <c r="UQD341" s="85"/>
      <c r="UQE341" s="82"/>
      <c r="UQF341" s="82"/>
      <c r="UQG341" s="86"/>
      <c r="UQH341" s="82"/>
      <c r="UQI341" s="82"/>
      <c r="UQJ341" s="82"/>
      <c r="UQK341" s="82"/>
      <c r="UQL341" s="83"/>
      <c r="UQM341" s="98"/>
      <c r="UQN341" s="85"/>
      <c r="UQO341" s="82"/>
      <c r="UQP341" s="82"/>
      <c r="UQQ341" s="86"/>
      <c r="UQR341" s="82"/>
      <c r="UQS341" s="82"/>
      <c r="UQT341" s="82"/>
      <c r="UQU341" s="82"/>
      <c r="UQV341" s="83"/>
      <c r="UQW341" s="98"/>
      <c r="UQX341" s="85"/>
      <c r="UQY341" s="82"/>
      <c r="UQZ341" s="82"/>
      <c r="URA341" s="86"/>
      <c r="URB341" s="82"/>
      <c r="URC341" s="82"/>
      <c r="URD341" s="82"/>
      <c r="URE341" s="82"/>
      <c r="URF341" s="83"/>
      <c r="URG341" s="98"/>
      <c r="URH341" s="85"/>
      <c r="URI341" s="82"/>
      <c r="URJ341" s="82"/>
      <c r="URK341" s="86"/>
      <c r="URL341" s="82"/>
      <c r="URM341" s="82"/>
      <c r="URN341" s="82"/>
      <c r="URO341" s="82"/>
      <c r="URP341" s="83"/>
      <c r="URQ341" s="98"/>
      <c r="URR341" s="85"/>
      <c r="URS341" s="82"/>
      <c r="URT341" s="82"/>
      <c r="URU341" s="86"/>
      <c r="URV341" s="82"/>
      <c r="URW341" s="82"/>
      <c r="URX341" s="82"/>
      <c r="URY341" s="82"/>
      <c r="URZ341" s="83"/>
      <c r="USA341" s="98"/>
      <c r="USB341" s="85"/>
      <c r="USC341" s="82"/>
      <c r="USD341" s="82"/>
      <c r="USE341" s="86"/>
      <c r="USF341" s="82"/>
      <c r="USG341" s="82"/>
      <c r="USH341" s="82"/>
      <c r="USI341" s="82"/>
      <c r="USJ341" s="83"/>
      <c r="USK341" s="98"/>
      <c r="USL341" s="85"/>
      <c r="USM341" s="82"/>
      <c r="USN341" s="82"/>
      <c r="USO341" s="86"/>
      <c r="USP341" s="82"/>
      <c r="USQ341" s="82"/>
      <c r="USR341" s="82"/>
      <c r="USS341" s="82"/>
      <c r="UST341" s="83"/>
      <c r="USU341" s="98"/>
      <c r="USV341" s="85"/>
      <c r="USW341" s="82"/>
      <c r="USX341" s="82"/>
      <c r="USY341" s="86"/>
      <c r="USZ341" s="82"/>
      <c r="UTA341" s="82"/>
      <c r="UTB341" s="82"/>
      <c r="UTC341" s="82"/>
      <c r="UTD341" s="83"/>
      <c r="UTE341" s="98"/>
      <c r="UTF341" s="85"/>
      <c r="UTG341" s="82"/>
      <c r="UTH341" s="82"/>
      <c r="UTI341" s="86"/>
      <c r="UTJ341" s="82"/>
      <c r="UTK341" s="82"/>
      <c r="UTL341" s="82"/>
      <c r="UTM341" s="82"/>
      <c r="UTN341" s="83"/>
      <c r="UTO341" s="98"/>
      <c r="UTP341" s="85"/>
      <c r="UTQ341" s="82"/>
      <c r="UTR341" s="82"/>
      <c r="UTS341" s="86"/>
      <c r="UTT341" s="82"/>
      <c r="UTU341" s="82"/>
      <c r="UTV341" s="82"/>
      <c r="UTW341" s="82"/>
      <c r="UTX341" s="83"/>
      <c r="UTY341" s="98"/>
      <c r="UTZ341" s="85"/>
      <c r="UUA341" s="82"/>
      <c r="UUB341" s="82"/>
      <c r="UUC341" s="86"/>
      <c r="UUD341" s="82"/>
      <c r="UUE341" s="82"/>
      <c r="UUF341" s="82"/>
      <c r="UUG341" s="82"/>
      <c r="UUH341" s="83"/>
      <c r="UUI341" s="98"/>
      <c r="UUJ341" s="85"/>
      <c r="UUK341" s="82"/>
      <c r="UUL341" s="82"/>
      <c r="UUM341" s="86"/>
      <c r="UUN341" s="82"/>
      <c r="UUO341" s="82"/>
      <c r="UUP341" s="82"/>
      <c r="UUQ341" s="82"/>
      <c r="UUR341" s="83"/>
      <c r="UUS341" s="98"/>
      <c r="UUT341" s="85"/>
      <c r="UUU341" s="82"/>
      <c r="UUV341" s="82"/>
      <c r="UUW341" s="86"/>
      <c r="UUX341" s="82"/>
      <c r="UUY341" s="82"/>
      <c r="UUZ341" s="82"/>
      <c r="UVA341" s="82"/>
      <c r="UVB341" s="83"/>
      <c r="UVC341" s="98"/>
      <c r="UVD341" s="85"/>
      <c r="UVE341" s="82"/>
      <c r="UVF341" s="82"/>
      <c r="UVG341" s="86"/>
      <c r="UVH341" s="82"/>
      <c r="UVI341" s="82"/>
      <c r="UVJ341" s="82"/>
      <c r="UVK341" s="82"/>
      <c r="UVL341" s="83"/>
      <c r="UVM341" s="98"/>
      <c r="UVN341" s="85"/>
      <c r="UVO341" s="82"/>
      <c r="UVP341" s="82"/>
      <c r="UVQ341" s="86"/>
      <c r="UVR341" s="82"/>
      <c r="UVS341" s="82"/>
      <c r="UVT341" s="82"/>
      <c r="UVU341" s="82"/>
      <c r="UVV341" s="83"/>
      <c r="UVW341" s="98"/>
      <c r="UVX341" s="85"/>
      <c r="UVY341" s="82"/>
      <c r="UVZ341" s="82"/>
      <c r="UWA341" s="86"/>
      <c r="UWB341" s="82"/>
      <c r="UWC341" s="82"/>
      <c r="UWD341" s="82"/>
      <c r="UWE341" s="82"/>
      <c r="UWF341" s="83"/>
      <c r="UWG341" s="98"/>
      <c r="UWH341" s="85"/>
      <c r="UWI341" s="82"/>
      <c r="UWJ341" s="82"/>
      <c r="UWK341" s="86"/>
      <c r="UWL341" s="82"/>
      <c r="UWM341" s="82"/>
      <c r="UWN341" s="82"/>
      <c r="UWO341" s="82"/>
      <c r="UWP341" s="83"/>
      <c r="UWQ341" s="98"/>
      <c r="UWR341" s="85"/>
      <c r="UWS341" s="82"/>
      <c r="UWT341" s="82"/>
      <c r="UWU341" s="86"/>
      <c r="UWV341" s="82"/>
      <c r="UWW341" s="82"/>
      <c r="UWX341" s="82"/>
      <c r="UWY341" s="82"/>
      <c r="UWZ341" s="83"/>
      <c r="UXA341" s="98"/>
      <c r="UXB341" s="85"/>
      <c r="UXC341" s="82"/>
      <c r="UXD341" s="82"/>
      <c r="UXE341" s="86"/>
      <c r="UXF341" s="82"/>
      <c r="UXG341" s="82"/>
      <c r="UXH341" s="82"/>
      <c r="UXI341" s="82"/>
      <c r="UXJ341" s="83"/>
      <c r="UXK341" s="98"/>
      <c r="UXL341" s="85"/>
      <c r="UXM341" s="82"/>
      <c r="UXN341" s="82"/>
      <c r="UXO341" s="86"/>
      <c r="UXP341" s="82"/>
      <c r="UXQ341" s="82"/>
      <c r="UXR341" s="82"/>
      <c r="UXS341" s="82"/>
      <c r="UXT341" s="83"/>
      <c r="UXU341" s="98"/>
      <c r="UXV341" s="85"/>
      <c r="UXW341" s="82"/>
      <c r="UXX341" s="82"/>
      <c r="UXY341" s="86"/>
      <c r="UXZ341" s="82"/>
      <c r="UYA341" s="82"/>
      <c r="UYB341" s="82"/>
      <c r="UYC341" s="82"/>
      <c r="UYD341" s="83"/>
      <c r="UYE341" s="98"/>
      <c r="UYF341" s="85"/>
      <c r="UYG341" s="82"/>
      <c r="UYH341" s="82"/>
      <c r="UYI341" s="86"/>
      <c r="UYJ341" s="82"/>
      <c r="UYK341" s="82"/>
      <c r="UYL341" s="82"/>
      <c r="UYM341" s="82"/>
      <c r="UYN341" s="83"/>
      <c r="UYO341" s="98"/>
      <c r="UYP341" s="85"/>
      <c r="UYQ341" s="82"/>
      <c r="UYR341" s="82"/>
      <c r="UYS341" s="86"/>
      <c r="UYT341" s="82"/>
      <c r="UYU341" s="82"/>
      <c r="UYV341" s="82"/>
      <c r="UYW341" s="82"/>
      <c r="UYX341" s="83"/>
      <c r="UYY341" s="98"/>
      <c r="UYZ341" s="85"/>
      <c r="UZA341" s="82"/>
      <c r="UZB341" s="82"/>
      <c r="UZC341" s="86"/>
      <c r="UZD341" s="82"/>
      <c r="UZE341" s="82"/>
      <c r="UZF341" s="82"/>
      <c r="UZG341" s="82"/>
      <c r="UZH341" s="83"/>
      <c r="UZI341" s="98"/>
      <c r="UZJ341" s="85"/>
      <c r="UZK341" s="82"/>
      <c r="UZL341" s="82"/>
      <c r="UZM341" s="86"/>
      <c r="UZN341" s="82"/>
      <c r="UZO341" s="82"/>
      <c r="UZP341" s="82"/>
      <c r="UZQ341" s="82"/>
      <c r="UZR341" s="83"/>
      <c r="UZS341" s="98"/>
      <c r="UZT341" s="85"/>
      <c r="UZU341" s="82"/>
      <c r="UZV341" s="82"/>
      <c r="UZW341" s="86"/>
      <c r="UZX341" s="82"/>
      <c r="UZY341" s="82"/>
      <c r="UZZ341" s="82"/>
      <c r="VAA341" s="82"/>
      <c r="VAB341" s="83"/>
      <c r="VAC341" s="98"/>
      <c r="VAD341" s="85"/>
      <c r="VAE341" s="82"/>
      <c r="VAF341" s="82"/>
      <c r="VAG341" s="86"/>
      <c r="VAH341" s="82"/>
      <c r="VAI341" s="82"/>
      <c r="VAJ341" s="82"/>
      <c r="VAK341" s="82"/>
      <c r="VAL341" s="83"/>
      <c r="VAM341" s="98"/>
      <c r="VAN341" s="85"/>
      <c r="VAO341" s="82"/>
      <c r="VAP341" s="82"/>
      <c r="VAQ341" s="86"/>
      <c r="VAR341" s="82"/>
      <c r="VAS341" s="82"/>
      <c r="VAT341" s="82"/>
      <c r="VAU341" s="82"/>
      <c r="VAV341" s="83"/>
      <c r="VAW341" s="98"/>
      <c r="VAX341" s="85"/>
      <c r="VAY341" s="82"/>
      <c r="VAZ341" s="82"/>
      <c r="VBA341" s="86"/>
      <c r="VBB341" s="82"/>
      <c r="VBC341" s="82"/>
      <c r="VBD341" s="82"/>
      <c r="VBE341" s="82"/>
      <c r="VBF341" s="83"/>
      <c r="VBG341" s="98"/>
      <c r="VBH341" s="85"/>
      <c r="VBI341" s="82"/>
      <c r="VBJ341" s="82"/>
      <c r="VBK341" s="86"/>
      <c r="VBL341" s="82"/>
      <c r="VBM341" s="82"/>
      <c r="VBN341" s="82"/>
      <c r="VBO341" s="82"/>
      <c r="VBP341" s="83"/>
      <c r="VBQ341" s="98"/>
      <c r="VBR341" s="85"/>
      <c r="VBS341" s="82"/>
      <c r="VBT341" s="82"/>
      <c r="VBU341" s="86"/>
      <c r="VBV341" s="82"/>
      <c r="VBW341" s="82"/>
      <c r="VBX341" s="82"/>
      <c r="VBY341" s="82"/>
      <c r="VBZ341" s="83"/>
      <c r="VCA341" s="98"/>
      <c r="VCB341" s="85"/>
      <c r="VCC341" s="82"/>
      <c r="VCD341" s="82"/>
      <c r="VCE341" s="86"/>
      <c r="VCF341" s="82"/>
      <c r="VCG341" s="82"/>
      <c r="VCH341" s="82"/>
      <c r="VCI341" s="82"/>
      <c r="VCJ341" s="83"/>
      <c r="VCK341" s="98"/>
      <c r="VCL341" s="85"/>
      <c r="VCM341" s="82"/>
      <c r="VCN341" s="82"/>
      <c r="VCO341" s="86"/>
      <c r="VCP341" s="82"/>
      <c r="VCQ341" s="82"/>
      <c r="VCR341" s="82"/>
      <c r="VCS341" s="82"/>
      <c r="VCT341" s="83"/>
      <c r="VCU341" s="98"/>
      <c r="VCV341" s="85"/>
      <c r="VCW341" s="82"/>
      <c r="VCX341" s="82"/>
      <c r="VCY341" s="86"/>
      <c r="VCZ341" s="82"/>
      <c r="VDA341" s="82"/>
      <c r="VDB341" s="82"/>
      <c r="VDC341" s="82"/>
      <c r="VDD341" s="83"/>
      <c r="VDE341" s="98"/>
      <c r="VDF341" s="85"/>
      <c r="VDG341" s="82"/>
      <c r="VDH341" s="82"/>
      <c r="VDI341" s="86"/>
      <c r="VDJ341" s="82"/>
      <c r="VDK341" s="82"/>
      <c r="VDL341" s="82"/>
      <c r="VDM341" s="82"/>
      <c r="VDN341" s="83"/>
      <c r="VDO341" s="98"/>
      <c r="VDP341" s="85"/>
      <c r="VDQ341" s="82"/>
      <c r="VDR341" s="82"/>
      <c r="VDS341" s="86"/>
      <c r="VDT341" s="82"/>
      <c r="VDU341" s="82"/>
      <c r="VDV341" s="82"/>
      <c r="VDW341" s="82"/>
      <c r="VDX341" s="83"/>
      <c r="VDY341" s="98"/>
      <c r="VDZ341" s="85"/>
      <c r="VEA341" s="82"/>
      <c r="VEB341" s="82"/>
      <c r="VEC341" s="86"/>
      <c r="VED341" s="82"/>
      <c r="VEE341" s="82"/>
      <c r="VEF341" s="82"/>
      <c r="VEG341" s="82"/>
      <c r="VEH341" s="83"/>
      <c r="VEI341" s="98"/>
      <c r="VEJ341" s="85"/>
      <c r="VEK341" s="82"/>
      <c r="VEL341" s="82"/>
      <c r="VEM341" s="86"/>
      <c r="VEN341" s="82"/>
      <c r="VEO341" s="82"/>
      <c r="VEP341" s="82"/>
      <c r="VEQ341" s="82"/>
      <c r="VER341" s="83"/>
      <c r="VES341" s="98"/>
      <c r="VET341" s="85"/>
      <c r="VEU341" s="82"/>
      <c r="VEV341" s="82"/>
      <c r="VEW341" s="86"/>
      <c r="VEX341" s="82"/>
      <c r="VEY341" s="82"/>
      <c r="VEZ341" s="82"/>
      <c r="VFA341" s="82"/>
      <c r="VFB341" s="83"/>
      <c r="VFC341" s="98"/>
      <c r="VFD341" s="85"/>
      <c r="VFE341" s="82"/>
      <c r="VFF341" s="82"/>
      <c r="VFG341" s="86"/>
      <c r="VFH341" s="82"/>
      <c r="VFI341" s="82"/>
      <c r="VFJ341" s="82"/>
      <c r="VFK341" s="82"/>
      <c r="VFL341" s="83"/>
      <c r="VFM341" s="98"/>
      <c r="VFN341" s="85"/>
      <c r="VFO341" s="82"/>
      <c r="VFP341" s="82"/>
      <c r="VFQ341" s="86"/>
      <c r="VFR341" s="82"/>
      <c r="VFS341" s="82"/>
      <c r="VFT341" s="82"/>
      <c r="VFU341" s="82"/>
      <c r="VFV341" s="83"/>
      <c r="VFW341" s="98"/>
      <c r="VFX341" s="85"/>
      <c r="VFY341" s="82"/>
      <c r="VFZ341" s="82"/>
      <c r="VGA341" s="86"/>
      <c r="VGB341" s="82"/>
      <c r="VGC341" s="82"/>
      <c r="VGD341" s="82"/>
      <c r="VGE341" s="82"/>
      <c r="VGF341" s="83"/>
      <c r="VGG341" s="98"/>
      <c r="VGH341" s="85"/>
      <c r="VGI341" s="82"/>
      <c r="VGJ341" s="82"/>
      <c r="VGK341" s="86"/>
      <c r="VGL341" s="82"/>
      <c r="VGM341" s="82"/>
      <c r="VGN341" s="82"/>
      <c r="VGO341" s="82"/>
      <c r="VGP341" s="83"/>
      <c r="VGQ341" s="98"/>
      <c r="VGR341" s="85"/>
      <c r="VGS341" s="82"/>
      <c r="VGT341" s="82"/>
      <c r="VGU341" s="86"/>
      <c r="VGV341" s="82"/>
      <c r="VGW341" s="82"/>
      <c r="VGX341" s="82"/>
      <c r="VGY341" s="82"/>
      <c r="VGZ341" s="83"/>
      <c r="VHA341" s="98"/>
      <c r="VHB341" s="85"/>
      <c r="VHC341" s="82"/>
      <c r="VHD341" s="82"/>
      <c r="VHE341" s="86"/>
      <c r="VHF341" s="82"/>
      <c r="VHG341" s="82"/>
      <c r="VHH341" s="82"/>
      <c r="VHI341" s="82"/>
      <c r="VHJ341" s="83"/>
      <c r="VHK341" s="98"/>
      <c r="VHL341" s="85"/>
      <c r="VHM341" s="82"/>
      <c r="VHN341" s="82"/>
      <c r="VHO341" s="86"/>
      <c r="VHP341" s="82"/>
      <c r="VHQ341" s="82"/>
      <c r="VHR341" s="82"/>
      <c r="VHS341" s="82"/>
      <c r="VHT341" s="83"/>
      <c r="VHU341" s="98"/>
      <c r="VHV341" s="85"/>
      <c r="VHW341" s="82"/>
      <c r="VHX341" s="82"/>
      <c r="VHY341" s="86"/>
      <c r="VHZ341" s="82"/>
      <c r="VIA341" s="82"/>
      <c r="VIB341" s="82"/>
      <c r="VIC341" s="82"/>
      <c r="VID341" s="83"/>
      <c r="VIE341" s="98"/>
      <c r="VIF341" s="85"/>
      <c r="VIG341" s="82"/>
      <c r="VIH341" s="82"/>
      <c r="VII341" s="86"/>
      <c r="VIJ341" s="82"/>
      <c r="VIK341" s="82"/>
      <c r="VIL341" s="82"/>
      <c r="VIM341" s="82"/>
      <c r="VIN341" s="83"/>
      <c r="VIO341" s="98"/>
      <c r="VIP341" s="85"/>
      <c r="VIQ341" s="82"/>
      <c r="VIR341" s="82"/>
      <c r="VIS341" s="86"/>
      <c r="VIT341" s="82"/>
      <c r="VIU341" s="82"/>
      <c r="VIV341" s="82"/>
      <c r="VIW341" s="82"/>
      <c r="VIX341" s="83"/>
      <c r="VIY341" s="98"/>
      <c r="VIZ341" s="85"/>
      <c r="VJA341" s="82"/>
      <c r="VJB341" s="82"/>
      <c r="VJC341" s="86"/>
      <c r="VJD341" s="82"/>
      <c r="VJE341" s="82"/>
      <c r="VJF341" s="82"/>
      <c r="VJG341" s="82"/>
      <c r="VJH341" s="83"/>
      <c r="VJI341" s="98"/>
      <c r="VJJ341" s="85"/>
      <c r="VJK341" s="82"/>
      <c r="VJL341" s="82"/>
      <c r="VJM341" s="86"/>
      <c r="VJN341" s="82"/>
      <c r="VJO341" s="82"/>
      <c r="VJP341" s="82"/>
      <c r="VJQ341" s="82"/>
      <c r="VJR341" s="83"/>
      <c r="VJS341" s="98"/>
      <c r="VJT341" s="85"/>
      <c r="VJU341" s="82"/>
      <c r="VJV341" s="82"/>
      <c r="VJW341" s="86"/>
      <c r="VJX341" s="82"/>
      <c r="VJY341" s="82"/>
      <c r="VJZ341" s="82"/>
      <c r="VKA341" s="82"/>
      <c r="VKB341" s="83"/>
      <c r="VKC341" s="98"/>
      <c r="VKD341" s="85"/>
      <c r="VKE341" s="82"/>
      <c r="VKF341" s="82"/>
      <c r="VKG341" s="86"/>
      <c r="VKH341" s="82"/>
      <c r="VKI341" s="82"/>
      <c r="VKJ341" s="82"/>
      <c r="VKK341" s="82"/>
      <c r="VKL341" s="83"/>
      <c r="VKM341" s="98"/>
      <c r="VKN341" s="85"/>
      <c r="VKO341" s="82"/>
      <c r="VKP341" s="82"/>
      <c r="VKQ341" s="86"/>
      <c r="VKR341" s="82"/>
      <c r="VKS341" s="82"/>
      <c r="VKT341" s="82"/>
      <c r="VKU341" s="82"/>
      <c r="VKV341" s="83"/>
      <c r="VKW341" s="98"/>
      <c r="VKX341" s="85"/>
      <c r="VKY341" s="82"/>
      <c r="VKZ341" s="82"/>
      <c r="VLA341" s="86"/>
      <c r="VLB341" s="82"/>
      <c r="VLC341" s="82"/>
      <c r="VLD341" s="82"/>
      <c r="VLE341" s="82"/>
      <c r="VLF341" s="83"/>
      <c r="VLG341" s="98"/>
      <c r="VLH341" s="85"/>
      <c r="VLI341" s="82"/>
      <c r="VLJ341" s="82"/>
      <c r="VLK341" s="86"/>
      <c r="VLL341" s="82"/>
      <c r="VLM341" s="82"/>
      <c r="VLN341" s="82"/>
      <c r="VLO341" s="82"/>
      <c r="VLP341" s="83"/>
      <c r="VLQ341" s="98"/>
      <c r="VLR341" s="85"/>
      <c r="VLS341" s="82"/>
      <c r="VLT341" s="82"/>
      <c r="VLU341" s="86"/>
      <c r="VLV341" s="82"/>
      <c r="VLW341" s="82"/>
      <c r="VLX341" s="82"/>
      <c r="VLY341" s="82"/>
      <c r="VLZ341" s="83"/>
      <c r="VMA341" s="98"/>
      <c r="VMB341" s="85"/>
      <c r="VMC341" s="82"/>
      <c r="VMD341" s="82"/>
      <c r="VME341" s="86"/>
      <c r="VMF341" s="82"/>
      <c r="VMG341" s="82"/>
      <c r="VMH341" s="82"/>
      <c r="VMI341" s="82"/>
      <c r="VMJ341" s="83"/>
      <c r="VMK341" s="98"/>
      <c r="VML341" s="85"/>
      <c r="VMM341" s="82"/>
      <c r="VMN341" s="82"/>
      <c r="VMO341" s="86"/>
      <c r="VMP341" s="82"/>
      <c r="VMQ341" s="82"/>
      <c r="VMR341" s="82"/>
      <c r="VMS341" s="82"/>
      <c r="VMT341" s="83"/>
      <c r="VMU341" s="98"/>
      <c r="VMV341" s="85"/>
      <c r="VMW341" s="82"/>
      <c r="VMX341" s="82"/>
      <c r="VMY341" s="86"/>
      <c r="VMZ341" s="82"/>
      <c r="VNA341" s="82"/>
      <c r="VNB341" s="82"/>
      <c r="VNC341" s="82"/>
      <c r="VND341" s="83"/>
      <c r="VNE341" s="98"/>
      <c r="VNF341" s="85"/>
      <c r="VNG341" s="82"/>
      <c r="VNH341" s="82"/>
      <c r="VNI341" s="86"/>
      <c r="VNJ341" s="82"/>
      <c r="VNK341" s="82"/>
      <c r="VNL341" s="82"/>
      <c r="VNM341" s="82"/>
      <c r="VNN341" s="83"/>
      <c r="VNO341" s="98"/>
      <c r="VNP341" s="85"/>
      <c r="VNQ341" s="82"/>
      <c r="VNR341" s="82"/>
      <c r="VNS341" s="86"/>
      <c r="VNT341" s="82"/>
      <c r="VNU341" s="82"/>
      <c r="VNV341" s="82"/>
      <c r="VNW341" s="82"/>
      <c r="VNX341" s="83"/>
      <c r="VNY341" s="98"/>
      <c r="VNZ341" s="85"/>
      <c r="VOA341" s="82"/>
      <c r="VOB341" s="82"/>
      <c r="VOC341" s="86"/>
      <c r="VOD341" s="82"/>
      <c r="VOE341" s="82"/>
      <c r="VOF341" s="82"/>
      <c r="VOG341" s="82"/>
      <c r="VOH341" s="83"/>
      <c r="VOI341" s="98"/>
      <c r="VOJ341" s="85"/>
      <c r="VOK341" s="82"/>
      <c r="VOL341" s="82"/>
      <c r="VOM341" s="86"/>
      <c r="VON341" s="82"/>
      <c r="VOO341" s="82"/>
      <c r="VOP341" s="82"/>
      <c r="VOQ341" s="82"/>
      <c r="VOR341" s="83"/>
      <c r="VOS341" s="98"/>
      <c r="VOT341" s="85"/>
      <c r="VOU341" s="82"/>
      <c r="VOV341" s="82"/>
      <c r="VOW341" s="86"/>
      <c r="VOX341" s="82"/>
      <c r="VOY341" s="82"/>
      <c r="VOZ341" s="82"/>
      <c r="VPA341" s="82"/>
      <c r="VPB341" s="83"/>
      <c r="VPC341" s="98"/>
      <c r="VPD341" s="85"/>
      <c r="VPE341" s="82"/>
      <c r="VPF341" s="82"/>
      <c r="VPG341" s="86"/>
      <c r="VPH341" s="82"/>
      <c r="VPI341" s="82"/>
      <c r="VPJ341" s="82"/>
      <c r="VPK341" s="82"/>
      <c r="VPL341" s="83"/>
      <c r="VPM341" s="98"/>
      <c r="VPN341" s="85"/>
      <c r="VPO341" s="82"/>
      <c r="VPP341" s="82"/>
      <c r="VPQ341" s="86"/>
      <c r="VPR341" s="82"/>
      <c r="VPS341" s="82"/>
      <c r="VPT341" s="82"/>
      <c r="VPU341" s="82"/>
      <c r="VPV341" s="83"/>
      <c r="VPW341" s="98"/>
      <c r="VPX341" s="85"/>
      <c r="VPY341" s="82"/>
      <c r="VPZ341" s="82"/>
      <c r="VQA341" s="86"/>
      <c r="VQB341" s="82"/>
      <c r="VQC341" s="82"/>
      <c r="VQD341" s="82"/>
      <c r="VQE341" s="82"/>
      <c r="VQF341" s="83"/>
      <c r="VQG341" s="98"/>
      <c r="VQH341" s="85"/>
      <c r="VQI341" s="82"/>
      <c r="VQJ341" s="82"/>
      <c r="VQK341" s="86"/>
      <c r="VQL341" s="82"/>
      <c r="VQM341" s="82"/>
      <c r="VQN341" s="82"/>
      <c r="VQO341" s="82"/>
      <c r="VQP341" s="83"/>
      <c r="VQQ341" s="98"/>
      <c r="VQR341" s="85"/>
      <c r="VQS341" s="82"/>
      <c r="VQT341" s="82"/>
      <c r="VQU341" s="86"/>
      <c r="VQV341" s="82"/>
      <c r="VQW341" s="82"/>
      <c r="VQX341" s="82"/>
      <c r="VQY341" s="82"/>
      <c r="VQZ341" s="83"/>
      <c r="VRA341" s="98"/>
      <c r="VRB341" s="85"/>
      <c r="VRC341" s="82"/>
      <c r="VRD341" s="82"/>
      <c r="VRE341" s="86"/>
      <c r="VRF341" s="82"/>
      <c r="VRG341" s="82"/>
      <c r="VRH341" s="82"/>
      <c r="VRI341" s="82"/>
      <c r="VRJ341" s="83"/>
      <c r="VRK341" s="98"/>
      <c r="VRL341" s="85"/>
      <c r="VRM341" s="82"/>
      <c r="VRN341" s="82"/>
      <c r="VRO341" s="86"/>
      <c r="VRP341" s="82"/>
      <c r="VRQ341" s="82"/>
      <c r="VRR341" s="82"/>
      <c r="VRS341" s="82"/>
      <c r="VRT341" s="83"/>
      <c r="VRU341" s="98"/>
      <c r="VRV341" s="85"/>
      <c r="VRW341" s="82"/>
      <c r="VRX341" s="82"/>
      <c r="VRY341" s="86"/>
      <c r="VRZ341" s="82"/>
      <c r="VSA341" s="82"/>
      <c r="VSB341" s="82"/>
      <c r="VSC341" s="82"/>
      <c r="VSD341" s="83"/>
      <c r="VSE341" s="98"/>
      <c r="VSF341" s="85"/>
      <c r="VSG341" s="82"/>
      <c r="VSH341" s="82"/>
      <c r="VSI341" s="86"/>
      <c r="VSJ341" s="82"/>
      <c r="VSK341" s="82"/>
      <c r="VSL341" s="82"/>
      <c r="VSM341" s="82"/>
      <c r="VSN341" s="83"/>
      <c r="VSO341" s="98"/>
      <c r="VSP341" s="85"/>
      <c r="VSQ341" s="82"/>
      <c r="VSR341" s="82"/>
      <c r="VSS341" s="86"/>
      <c r="VST341" s="82"/>
      <c r="VSU341" s="82"/>
      <c r="VSV341" s="82"/>
      <c r="VSW341" s="82"/>
      <c r="VSX341" s="83"/>
      <c r="VSY341" s="98"/>
      <c r="VSZ341" s="85"/>
      <c r="VTA341" s="82"/>
      <c r="VTB341" s="82"/>
      <c r="VTC341" s="86"/>
      <c r="VTD341" s="82"/>
      <c r="VTE341" s="82"/>
      <c r="VTF341" s="82"/>
      <c r="VTG341" s="82"/>
      <c r="VTH341" s="83"/>
      <c r="VTI341" s="98"/>
      <c r="VTJ341" s="85"/>
      <c r="VTK341" s="82"/>
      <c r="VTL341" s="82"/>
      <c r="VTM341" s="86"/>
      <c r="VTN341" s="82"/>
      <c r="VTO341" s="82"/>
      <c r="VTP341" s="82"/>
      <c r="VTQ341" s="82"/>
      <c r="VTR341" s="83"/>
      <c r="VTS341" s="98"/>
      <c r="VTT341" s="85"/>
      <c r="VTU341" s="82"/>
      <c r="VTV341" s="82"/>
      <c r="VTW341" s="86"/>
      <c r="VTX341" s="82"/>
      <c r="VTY341" s="82"/>
      <c r="VTZ341" s="82"/>
      <c r="VUA341" s="82"/>
      <c r="VUB341" s="83"/>
      <c r="VUC341" s="98"/>
      <c r="VUD341" s="85"/>
      <c r="VUE341" s="82"/>
      <c r="VUF341" s="82"/>
      <c r="VUG341" s="86"/>
      <c r="VUH341" s="82"/>
      <c r="VUI341" s="82"/>
      <c r="VUJ341" s="82"/>
      <c r="VUK341" s="82"/>
      <c r="VUL341" s="83"/>
      <c r="VUM341" s="98"/>
      <c r="VUN341" s="85"/>
      <c r="VUO341" s="82"/>
      <c r="VUP341" s="82"/>
      <c r="VUQ341" s="86"/>
      <c r="VUR341" s="82"/>
      <c r="VUS341" s="82"/>
      <c r="VUT341" s="82"/>
      <c r="VUU341" s="82"/>
      <c r="VUV341" s="83"/>
      <c r="VUW341" s="98"/>
      <c r="VUX341" s="85"/>
      <c r="VUY341" s="82"/>
      <c r="VUZ341" s="82"/>
      <c r="VVA341" s="86"/>
      <c r="VVB341" s="82"/>
      <c r="VVC341" s="82"/>
      <c r="VVD341" s="82"/>
      <c r="VVE341" s="82"/>
      <c r="VVF341" s="83"/>
      <c r="VVG341" s="98"/>
      <c r="VVH341" s="85"/>
      <c r="VVI341" s="82"/>
      <c r="VVJ341" s="82"/>
      <c r="VVK341" s="86"/>
      <c r="VVL341" s="82"/>
      <c r="VVM341" s="82"/>
      <c r="VVN341" s="82"/>
      <c r="VVO341" s="82"/>
      <c r="VVP341" s="83"/>
      <c r="VVQ341" s="98"/>
      <c r="VVR341" s="85"/>
      <c r="VVS341" s="82"/>
      <c r="VVT341" s="82"/>
      <c r="VVU341" s="86"/>
      <c r="VVV341" s="82"/>
      <c r="VVW341" s="82"/>
      <c r="VVX341" s="82"/>
      <c r="VVY341" s="82"/>
      <c r="VVZ341" s="83"/>
      <c r="VWA341" s="98"/>
      <c r="VWB341" s="85"/>
      <c r="VWC341" s="82"/>
      <c r="VWD341" s="82"/>
      <c r="VWE341" s="86"/>
      <c r="VWF341" s="82"/>
      <c r="VWG341" s="82"/>
      <c r="VWH341" s="82"/>
      <c r="VWI341" s="82"/>
      <c r="VWJ341" s="83"/>
      <c r="VWK341" s="98"/>
      <c r="VWL341" s="85"/>
      <c r="VWM341" s="82"/>
      <c r="VWN341" s="82"/>
      <c r="VWO341" s="86"/>
      <c r="VWP341" s="82"/>
      <c r="VWQ341" s="82"/>
      <c r="VWR341" s="82"/>
      <c r="VWS341" s="82"/>
      <c r="VWT341" s="83"/>
      <c r="VWU341" s="98"/>
      <c r="VWV341" s="85"/>
      <c r="VWW341" s="82"/>
      <c r="VWX341" s="82"/>
      <c r="VWY341" s="86"/>
      <c r="VWZ341" s="82"/>
      <c r="VXA341" s="82"/>
      <c r="VXB341" s="82"/>
      <c r="VXC341" s="82"/>
      <c r="VXD341" s="83"/>
      <c r="VXE341" s="98"/>
      <c r="VXF341" s="85"/>
      <c r="VXG341" s="82"/>
      <c r="VXH341" s="82"/>
      <c r="VXI341" s="86"/>
      <c r="VXJ341" s="82"/>
      <c r="VXK341" s="82"/>
      <c r="VXL341" s="82"/>
      <c r="VXM341" s="82"/>
      <c r="VXN341" s="83"/>
      <c r="VXO341" s="98"/>
      <c r="VXP341" s="85"/>
      <c r="VXQ341" s="82"/>
      <c r="VXR341" s="82"/>
      <c r="VXS341" s="86"/>
      <c r="VXT341" s="82"/>
      <c r="VXU341" s="82"/>
      <c r="VXV341" s="82"/>
      <c r="VXW341" s="82"/>
      <c r="VXX341" s="83"/>
      <c r="VXY341" s="98"/>
      <c r="VXZ341" s="85"/>
      <c r="VYA341" s="82"/>
      <c r="VYB341" s="82"/>
      <c r="VYC341" s="86"/>
      <c r="VYD341" s="82"/>
      <c r="VYE341" s="82"/>
      <c r="VYF341" s="82"/>
      <c r="VYG341" s="82"/>
      <c r="VYH341" s="83"/>
      <c r="VYI341" s="98"/>
      <c r="VYJ341" s="85"/>
      <c r="VYK341" s="82"/>
      <c r="VYL341" s="82"/>
      <c r="VYM341" s="86"/>
      <c r="VYN341" s="82"/>
      <c r="VYO341" s="82"/>
      <c r="VYP341" s="82"/>
      <c r="VYQ341" s="82"/>
      <c r="VYR341" s="83"/>
      <c r="VYS341" s="98"/>
      <c r="VYT341" s="85"/>
      <c r="VYU341" s="82"/>
      <c r="VYV341" s="82"/>
      <c r="VYW341" s="86"/>
      <c r="VYX341" s="82"/>
      <c r="VYY341" s="82"/>
      <c r="VYZ341" s="82"/>
      <c r="VZA341" s="82"/>
      <c r="VZB341" s="83"/>
      <c r="VZC341" s="98"/>
      <c r="VZD341" s="85"/>
      <c r="VZE341" s="82"/>
      <c r="VZF341" s="82"/>
      <c r="VZG341" s="86"/>
      <c r="VZH341" s="82"/>
      <c r="VZI341" s="82"/>
      <c r="VZJ341" s="82"/>
      <c r="VZK341" s="82"/>
      <c r="VZL341" s="83"/>
      <c r="VZM341" s="98"/>
      <c r="VZN341" s="85"/>
      <c r="VZO341" s="82"/>
      <c r="VZP341" s="82"/>
      <c r="VZQ341" s="86"/>
      <c r="VZR341" s="82"/>
      <c r="VZS341" s="82"/>
      <c r="VZT341" s="82"/>
      <c r="VZU341" s="82"/>
      <c r="VZV341" s="83"/>
      <c r="VZW341" s="98"/>
      <c r="VZX341" s="85"/>
      <c r="VZY341" s="82"/>
      <c r="VZZ341" s="82"/>
      <c r="WAA341" s="86"/>
      <c r="WAB341" s="82"/>
      <c r="WAC341" s="82"/>
      <c r="WAD341" s="82"/>
      <c r="WAE341" s="82"/>
      <c r="WAF341" s="83"/>
      <c r="WAG341" s="98"/>
      <c r="WAH341" s="85"/>
      <c r="WAI341" s="82"/>
      <c r="WAJ341" s="82"/>
      <c r="WAK341" s="86"/>
      <c r="WAL341" s="82"/>
      <c r="WAM341" s="82"/>
      <c r="WAN341" s="82"/>
      <c r="WAO341" s="82"/>
      <c r="WAP341" s="83"/>
      <c r="WAQ341" s="98"/>
      <c r="WAR341" s="85"/>
      <c r="WAS341" s="82"/>
      <c r="WAT341" s="82"/>
      <c r="WAU341" s="86"/>
      <c r="WAV341" s="82"/>
      <c r="WAW341" s="82"/>
      <c r="WAX341" s="82"/>
      <c r="WAY341" s="82"/>
      <c r="WAZ341" s="83"/>
      <c r="WBA341" s="98"/>
      <c r="WBB341" s="85"/>
      <c r="WBC341" s="82"/>
      <c r="WBD341" s="82"/>
      <c r="WBE341" s="86"/>
      <c r="WBF341" s="82"/>
      <c r="WBG341" s="82"/>
      <c r="WBH341" s="82"/>
      <c r="WBI341" s="82"/>
      <c r="WBJ341" s="83"/>
      <c r="WBK341" s="98"/>
      <c r="WBL341" s="85"/>
      <c r="WBM341" s="82"/>
      <c r="WBN341" s="82"/>
      <c r="WBO341" s="86"/>
      <c r="WBP341" s="82"/>
      <c r="WBQ341" s="82"/>
      <c r="WBR341" s="82"/>
      <c r="WBS341" s="82"/>
      <c r="WBT341" s="83"/>
      <c r="WBU341" s="98"/>
      <c r="WBV341" s="85"/>
      <c r="WBW341" s="82"/>
      <c r="WBX341" s="82"/>
      <c r="WBY341" s="86"/>
      <c r="WBZ341" s="82"/>
      <c r="WCA341" s="82"/>
      <c r="WCB341" s="82"/>
      <c r="WCC341" s="82"/>
      <c r="WCD341" s="83"/>
      <c r="WCE341" s="98"/>
      <c r="WCF341" s="85"/>
      <c r="WCG341" s="82"/>
      <c r="WCH341" s="82"/>
      <c r="WCI341" s="86"/>
      <c r="WCJ341" s="82"/>
      <c r="WCK341" s="82"/>
      <c r="WCL341" s="82"/>
      <c r="WCM341" s="82"/>
      <c r="WCN341" s="83"/>
      <c r="WCO341" s="98"/>
      <c r="WCP341" s="85"/>
      <c r="WCQ341" s="82"/>
      <c r="WCR341" s="82"/>
      <c r="WCS341" s="86"/>
      <c r="WCT341" s="82"/>
      <c r="WCU341" s="82"/>
      <c r="WCV341" s="82"/>
      <c r="WCW341" s="82"/>
      <c r="WCX341" s="83"/>
      <c r="WCY341" s="98"/>
      <c r="WCZ341" s="85"/>
      <c r="WDA341" s="82"/>
      <c r="WDB341" s="82"/>
      <c r="WDC341" s="86"/>
      <c r="WDD341" s="82"/>
      <c r="WDE341" s="82"/>
      <c r="WDF341" s="82"/>
      <c r="WDG341" s="82"/>
      <c r="WDH341" s="83"/>
      <c r="WDI341" s="98"/>
      <c r="WDJ341" s="85"/>
      <c r="WDK341" s="82"/>
      <c r="WDL341" s="82"/>
      <c r="WDM341" s="86"/>
      <c r="WDN341" s="82"/>
      <c r="WDO341" s="82"/>
      <c r="WDP341" s="82"/>
      <c r="WDQ341" s="82"/>
      <c r="WDR341" s="83"/>
      <c r="WDS341" s="98"/>
      <c r="WDT341" s="85"/>
      <c r="WDU341" s="82"/>
      <c r="WDV341" s="82"/>
      <c r="WDW341" s="86"/>
      <c r="WDX341" s="82"/>
      <c r="WDY341" s="82"/>
      <c r="WDZ341" s="82"/>
      <c r="WEA341" s="82"/>
      <c r="WEB341" s="83"/>
      <c r="WEC341" s="98"/>
      <c r="WED341" s="85"/>
      <c r="WEE341" s="82"/>
      <c r="WEF341" s="82"/>
      <c r="WEG341" s="86"/>
      <c r="WEH341" s="82"/>
      <c r="WEI341" s="82"/>
      <c r="WEJ341" s="82"/>
      <c r="WEK341" s="82"/>
      <c r="WEL341" s="83"/>
      <c r="WEM341" s="98"/>
      <c r="WEN341" s="85"/>
      <c r="WEO341" s="82"/>
      <c r="WEP341" s="82"/>
      <c r="WEQ341" s="86"/>
      <c r="WER341" s="82"/>
      <c r="WES341" s="82"/>
      <c r="WET341" s="82"/>
      <c r="WEU341" s="82"/>
      <c r="WEV341" s="83"/>
      <c r="WEW341" s="98"/>
      <c r="WEX341" s="85"/>
      <c r="WEY341" s="82"/>
      <c r="WEZ341" s="82"/>
      <c r="WFA341" s="86"/>
      <c r="WFB341" s="82"/>
      <c r="WFC341" s="82"/>
      <c r="WFD341" s="82"/>
      <c r="WFE341" s="82"/>
      <c r="WFF341" s="83"/>
      <c r="WFG341" s="98"/>
      <c r="WFH341" s="85"/>
      <c r="WFI341" s="82"/>
      <c r="WFJ341" s="82"/>
      <c r="WFK341" s="86"/>
      <c r="WFL341" s="82"/>
      <c r="WFM341" s="82"/>
      <c r="WFN341" s="82"/>
      <c r="WFO341" s="82"/>
      <c r="WFP341" s="83"/>
      <c r="WFQ341" s="98"/>
      <c r="WFR341" s="85"/>
      <c r="WFS341" s="82"/>
      <c r="WFT341" s="82"/>
      <c r="WFU341" s="86"/>
      <c r="WFV341" s="82"/>
      <c r="WFW341" s="82"/>
      <c r="WFX341" s="82"/>
      <c r="WFY341" s="82"/>
      <c r="WFZ341" s="83"/>
      <c r="WGA341" s="98"/>
      <c r="WGB341" s="85"/>
      <c r="WGC341" s="82"/>
      <c r="WGD341" s="82"/>
      <c r="WGE341" s="86"/>
      <c r="WGF341" s="82"/>
      <c r="WGG341" s="82"/>
      <c r="WGH341" s="82"/>
      <c r="WGI341" s="82"/>
      <c r="WGJ341" s="83"/>
      <c r="WGK341" s="98"/>
      <c r="WGL341" s="85"/>
      <c r="WGM341" s="82"/>
      <c r="WGN341" s="82"/>
      <c r="WGO341" s="86"/>
      <c r="WGP341" s="82"/>
      <c r="WGQ341" s="82"/>
      <c r="WGR341" s="82"/>
      <c r="WGS341" s="82"/>
      <c r="WGT341" s="83"/>
      <c r="WGU341" s="98"/>
      <c r="WGV341" s="85"/>
      <c r="WGW341" s="82"/>
      <c r="WGX341" s="82"/>
      <c r="WGY341" s="86"/>
      <c r="WGZ341" s="82"/>
      <c r="WHA341" s="82"/>
      <c r="WHB341" s="82"/>
      <c r="WHC341" s="82"/>
      <c r="WHD341" s="83"/>
      <c r="WHE341" s="98"/>
      <c r="WHF341" s="85"/>
      <c r="WHG341" s="82"/>
      <c r="WHH341" s="82"/>
      <c r="WHI341" s="86"/>
      <c r="WHJ341" s="82"/>
      <c r="WHK341" s="82"/>
      <c r="WHL341" s="82"/>
      <c r="WHM341" s="82"/>
      <c r="WHN341" s="83"/>
      <c r="WHO341" s="98"/>
      <c r="WHP341" s="85"/>
      <c r="WHQ341" s="82"/>
      <c r="WHR341" s="82"/>
      <c r="WHS341" s="86"/>
      <c r="WHT341" s="82"/>
      <c r="WHU341" s="82"/>
      <c r="WHV341" s="82"/>
      <c r="WHW341" s="82"/>
      <c r="WHX341" s="83"/>
      <c r="WHY341" s="98"/>
      <c r="WHZ341" s="85"/>
      <c r="WIA341" s="82"/>
      <c r="WIB341" s="82"/>
      <c r="WIC341" s="86"/>
      <c r="WID341" s="82"/>
      <c r="WIE341" s="82"/>
      <c r="WIF341" s="82"/>
      <c r="WIG341" s="82"/>
      <c r="WIH341" s="83"/>
      <c r="WII341" s="98"/>
      <c r="WIJ341" s="85"/>
      <c r="WIK341" s="82"/>
      <c r="WIL341" s="82"/>
      <c r="WIM341" s="86"/>
      <c r="WIN341" s="82"/>
      <c r="WIO341" s="82"/>
      <c r="WIP341" s="82"/>
      <c r="WIQ341" s="82"/>
      <c r="WIR341" s="83"/>
      <c r="WIS341" s="98"/>
      <c r="WIT341" s="85"/>
      <c r="WIU341" s="82"/>
      <c r="WIV341" s="82"/>
      <c r="WIW341" s="86"/>
      <c r="WIX341" s="82"/>
      <c r="WIY341" s="82"/>
      <c r="WIZ341" s="82"/>
      <c r="WJA341" s="82"/>
      <c r="WJB341" s="83"/>
      <c r="WJC341" s="98"/>
      <c r="WJD341" s="85"/>
      <c r="WJE341" s="82"/>
      <c r="WJF341" s="82"/>
      <c r="WJG341" s="86"/>
      <c r="WJH341" s="82"/>
      <c r="WJI341" s="82"/>
      <c r="WJJ341" s="82"/>
      <c r="WJK341" s="82"/>
      <c r="WJL341" s="83"/>
      <c r="WJM341" s="98"/>
      <c r="WJN341" s="85"/>
      <c r="WJO341" s="82"/>
      <c r="WJP341" s="82"/>
      <c r="WJQ341" s="86"/>
      <c r="WJR341" s="82"/>
      <c r="WJS341" s="82"/>
      <c r="WJT341" s="82"/>
      <c r="WJU341" s="82"/>
      <c r="WJV341" s="83"/>
      <c r="WJW341" s="98"/>
      <c r="WJX341" s="85"/>
      <c r="WJY341" s="82"/>
      <c r="WJZ341" s="82"/>
      <c r="WKA341" s="86"/>
      <c r="WKB341" s="82"/>
      <c r="WKC341" s="82"/>
      <c r="WKD341" s="82"/>
      <c r="WKE341" s="82"/>
      <c r="WKF341" s="83"/>
      <c r="WKG341" s="98"/>
      <c r="WKH341" s="85"/>
      <c r="WKI341" s="82"/>
      <c r="WKJ341" s="82"/>
      <c r="WKK341" s="86"/>
      <c r="WKL341" s="82"/>
      <c r="WKM341" s="82"/>
      <c r="WKN341" s="82"/>
      <c r="WKO341" s="82"/>
      <c r="WKP341" s="83"/>
      <c r="WKQ341" s="98"/>
      <c r="WKR341" s="85"/>
      <c r="WKS341" s="82"/>
      <c r="WKT341" s="82"/>
      <c r="WKU341" s="86"/>
      <c r="WKV341" s="82"/>
      <c r="WKW341" s="82"/>
      <c r="WKX341" s="82"/>
      <c r="WKY341" s="82"/>
      <c r="WKZ341" s="83"/>
      <c r="WLA341" s="98"/>
      <c r="WLB341" s="85"/>
      <c r="WLC341" s="82"/>
      <c r="WLD341" s="82"/>
      <c r="WLE341" s="86"/>
      <c r="WLF341" s="82"/>
      <c r="WLG341" s="82"/>
      <c r="WLH341" s="82"/>
      <c r="WLI341" s="82"/>
      <c r="WLJ341" s="83"/>
      <c r="WLK341" s="98"/>
      <c r="WLL341" s="85"/>
      <c r="WLM341" s="82"/>
      <c r="WLN341" s="82"/>
      <c r="WLO341" s="86"/>
      <c r="WLP341" s="82"/>
      <c r="WLQ341" s="82"/>
      <c r="WLR341" s="82"/>
      <c r="WLS341" s="82"/>
      <c r="WLT341" s="83"/>
      <c r="WLU341" s="98"/>
      <c r="WLV341" s="85"/>
      <c r="WLW341" s="82"/>
      <c r="WLX341" s="82"/>
      <c r="WLY341" s="86"/>
      <c r="WLZ341" s="82"/>
      <c r="WMA341" s="82"/>
      <c r="WMB341" s="82"/>
      <c r="WMC341" s="82"/>
      <c r="WMD341" s="83"/>
      <c r="WME341" s="98"/>
      <c r="WMF341" s="85"/>
      <c r="WMG341" s="82"/>
      <c r="WMH341" s="82"/>
      <c r="WMI341" s="86"/>
      <c r="WMJ341" s="82"/>
      <c r="WMK341" s="82"/>
      <c r="WML341" s="82"/>
      <c r="WMM341" s="82"/>
      <c r="WMN341" s="83"/>
      <c r="WMO341" s="98"/>
      <c r="WMP341" s="85"/>
      <c r="WMQ341" s="82"/>
      <c r="WMR341" s="82"/>
      <c r="WMS341" s="86"/>
      <c r="WMT341" s="82"/>
      <c r="WMU341" s="82"/>
      <c r="WMV341" s="82"/>
      <c r="WMW341" s="82"/>
      <c r="WMX341" s="83"/>
      <c r="WMY341" s="98"/>
      <c r="WMZ341" s="85"/>
      <c r="WNA341" s="82"/>
      <c r="WNB341" s="82"/>
      <c r="WNC341" s="86"/>
      <c r="WND341" s="82"/>
      <c r="WNE341" s="82"/>
      <c r="WNF341" s="82"/>
      <c r="WNG341" s="82"/>
      <c r="WNH341" s="83"/>
      <c r="WNI341" s="98"/>
      <c r="WNJ341" s="85"/>
      <c r="WNK341" s="82"/>
      <c r="WNL341" s="82"/>
      <c r="WNM341" s="86"/>
      <c r="WNN341" s="82"/>
      <c r="WNO341" s="82"/>
      <c r="WNP341" s="82"/>
      <c r="WNQ341" s="82"/>
      <c r="WNR341" s="83"/>
      <c r="WNS341" s="98"/>
      <c r="WNT341" s="85"/>
      <c r="WNU341" s="82"/>
      <c r="WNV341" s="82"/>
      <c r="WNW341" s="86"/>
      <c r="WNX341" s="82"/>
      <c r="WNY341" s="82"/>
      <c r="WNZ341" s="82"/>
      <c r="WOA341" s="82"/>
      <c r="WOB341" s="83"/>
      <c r="WOC341" s="98"/>
      <c r="WOD341" s="85"/>
      <c r="WOE341" s="82"/>
      <c r="WOF341" s="82"/>
      <c r="WOG341" s="86"/>
      <c r="WOH341" s="82"/>
      <c r="WOI341" s="82"/>
      <c r="WOJ341" s="82"/>
      <c r="WOK341" s="82"/>
      <c r="WOL341" s="83"/>
      <c r="WOM341" s="98"/>
      <c r="WON341" s="85"/>
      <c r="WOO341" s="82"/>
      <c r="WOP341" s="82"/>
      <c r="WOQ341" s="86"/>
      <c r="WOR341" s="82"/>
      <c r="WOS341" s="82"/>
      <c r="WOT341" s="82"/>
      <c r="WOU341" s="82"/>
      <c r="WOV341" s="83"/>
      <c r="WOW341" s="98"/>
      <c r="WOX341" s="85"/>
      <c r="WOY341" s="82"/>
      <c r="WOZ341" s="82"/>
      <c r="WPA341" s="86"/>
      <c r="WPB341" s="82"/>
      <c r="WPC341" s="82"/>
      <c r="WPD341" s="82"/>
      <c r="WPE341" s="82"/>
      <c r="WPF341" s="83"/>
      <c r="WPG341" s="98"/>
      <c r="WPH341" s="85"/>
      <c r="WPI341" s="82"/>
      <c r="WPJ341" s="82"/>
      <c r="WPK341" s="86"/>
      <c r="WPL341" s="82"/>
      <c r="WPM341" s="82"/>
      <c r="WPN341" s="82"/>
      <c r="WPO341" s="82"/>
      <c r="WPP341" s="83"/>
      <c r="WPQ341" s="98"/>
      <c r="WPR341" s="85"/>
      <c r="WPS341" s="82"/>
      <c r="WPT341" s="82"/>
      <c r="WPU341" s="86"/>
      <c r="WPV341" s="82"/>
      <c r="WPW341" s="82"/>
      <c r="WPX341" s="82"/>
      <c r="WPY341" s="82"/>
      <c r="WPZ341" s="83"/>
      <c r="WQA341" s="98"/>
      <c r="WQB341" s="85"/>
      <c r="WQC341" s="82"/>
      <c r="WQD341" s="82"/>
      <c r="WQE341" s="86"/>
      <c r="WQF341" s="82"/>
      <c r="WQG341" s="82"/>
      <c r="WQH341" s="82"/>
      <c r="WQI341" s="82"/>
      <c r="WQJ341" s="83"/>
      <c r="WQK341" s="98"/>
      <c r="WQL341" s="85"/>
      <c r="WQM341" s="82"/>
      <c r="WQN341" s="82"/>
      <c r="WQO341" s="86"/>
      <c r="WQP341" s="82"/>
      <c r="WQQ341" s="82"/>
      <c r="WQR341" s="82"/>
      <c r="WQS341" s="82"/>
      <c r="WQT341" s="83"/>
      <c r="WQU341" s="98"/>
      <c r="WQV341" s="85"/>
      <c r="WQW341" s="82"/>
      <c r="WQX341" s="82"/>
      <c r="WQY341" s="86"/>
      <c r="WQZ341" s="82"/>
      <c r="WRA341" s="82"/>
      <c r="WRB341" s="82"/>
      <c r="WRC341" s="82"/>
      <c r="WRD341" s="83"/>
      <c r="WRE341" s="98"/>
      <c r="WRF341" s="85"/>
      <c r="WRG341" s="82"/>
      <c r="WRH341" s="82"/>
      <c r="WRI341" s="86"/>
      <c r="WRJ341" s="82"/>
      <c r="WRK341" s="82"/>
      <c r="WRL341" s="82"/>
      <c r="WRM341" s="82"/>
      <c r="WRN341" s="83"/>
      <c r="WRO341" s="98"/>
      <c r="WRP341" s="85"/>
      <c r="WRQ341" s="82"/>
      <c r="WRR341" s="82"/>
      <c r="WRS341" s="86"/>
      <c r="WRT341" s="82"/>
      <c r="WRU341" s="82"/>
      <c r="WRV341" s="82"/>
      <c r="WRW341" s="82"/>
      <c r="WRX341" s="83"/>
      <c r="WRY341" s="98"/>
      <c r="WRZ341" s="85"/>
      <c r="WSA341" s="82"/>
      <c r="WSB341" s="82"/>
      <c r="WSC341" s="86"/>
      <c r="WSD341" s="82"/>
      <c r="WSE341" s="82"/>
      <c r="WSF341" s="82"/>
      <c r="WSG341" s="82"/>
      <c r="WSH341" s="83"/>
      <c r="WSI341" s="98"/>
      <c r="WSJ341" s="85"/>
      <c r="WSK341" s="82"/>
      <c r="WSL341" s="82"/>
      <c r="WSM341" s="86"/>
      <c r="WSN341" s="82"/>
      <c r="WSO341" s="82"/>
      <c r="WSP341" s="82"/>
      <c r="WSQ341" s="82"/>
      <c r="WSR341" s="83"/>
      <c r="WSS341" s="98"/>
      <c r="WST341" s="85"/>
      <c r="WSU341" s="82"/>
      <c r="WSV341" s="82"/>
      <c r="WSW341" s="86"/>
      <c r="WSX341" s="82"/>
      <c r="WSY341" s="82"/>
      <c r="WSZ341" s="82"/>
      <c r="WTA341" s="82"/>
      <c r="WTB341" s="83"/>
      <c r="WTC341" s="98"/>
      <c r="WTD341" s="85"/>
      <c r="WTE341" s="82"/>
      <c r="WTF341" s="82"/>
      <c r="WTG341" s="86"/>
      <c r="WTH341" s="82"/>
      <c r="WTI341" s="82"/>
      <c r="WTJ341" s="82"/>
      <c r="WTK341" s="82"/>
      <c r="WTL341" s="83"/>
      <c r="WTM341" s="98"/>
      <c r="WTN341" s="85"/>
      <c r="WTO341" s="82"/>
      <c r="WTP341" s="82"/>
      <c r="WTQ341" s="86"/>
      <c r="WTR341" s="82"/>
      <c r="WTS341" s="82"/>
      <c r="WTT341" s="82"/>
      <c r="WTU341" s="82"/>
      <c r="WTV341" s="83"/>
      <c r="WTW341" s="98"/>
      <c r="WTX341" s="85"/>
      <c r="WTY341" s="82"/>
      <c r="WTZ341" s="82"/>
      <c r="WUA341" s="86"/>
      <c r="WUB341" s="82"/>
      <c r="WUC341" s="82"/>
      <c r="WUD341" s="82"/>
      <c r="WUE341" s="82"/>
      <c r="WUF341" s="83"/>
      <c r="WUG341" s="98"/>
      <c r="WUH341" s="85"/>
      <c r="WUI341" s="82"/>
      <c r="WUJ341" s="82"/>
      <c r="WUK341" s="86"/>
      <c r="WUL341" s="82"/>
      <c r="WUM341" s="82"/>
      <c r="WUN341" s="82"/>
      <c r="WUO341" s="82"/>
      <c r="WUP341" s="83"/>
      <c r="WUQ341" s="98"/>
      <c r="WUR341" s="85"/>
      <c r="WUS341" s="82"/>
      <c r="WUT341" s="82"/>
      <c r="WUU341" s="86"/>
      <c r="WUV341" s="82"/>
      <c r="WUW341" s="82"/>
      <c r="WUX341" s="82"/>
      <c r="WUY341" s="82"/>
      <c r="WUZ341" s="83"/>
      <c r="WVA341" s="98"/>
      <c r="WVB341" s="85"/>
      <c r="WVC341" s="82"/>
      <c r="WVD341" s="82"/>
      <c r="WVE341" s="86"/>
      <c r="WVF341" s="82"/>
      <c r="WVG341" s="82"/>
      <c r="WVH341" s="82"/>
      <c r="WVI341" s="82"/>
      <c r="WVJ341" s="83"/>
      <c r="WVK341" s="98"/>
      <c r="WVL341" s="85"/>
      <c r="WVM341" s="82"/>
      <c r="WVN341" s="82"/>
      <c r="WVO341" s="86"/>
      <c r="WVP341" s="82"/>
      <c r="WVQ341" s="82"/>
      <c r="WVR341" s="82"/>
      <c r="WVS341" s="82"/>
      <c r="WVT341" s="83"/>
      <c r="WVU341" s="98"/>
      <c r="WVV341" s="85"/>
      <c r="WVW341" s="82"/>
      <c r="WVX341" s="82"/>
      <c r="WVY341" s="86"/>
      <c r="WVZ341" s="82"/>
      <c r="WWA341" s="82"/>
      <c r="WWB341" s="82"/>
      <c r="WWC341" s="82"/>
      <c r="WWD341" s="83"/>
      <c r="WWE341" s="98"/>
      <c r="WWF341" s="85"/>
      <c r="WWG341" s="82"/>
      <c r="WWH341" s="82"/>
      <c r="WWI341" s="86"/>
      <c r="WWJ341" s="82"/>
      <c r="WWK341" s="82"/>
      <c r="WWL341" s="82"/>
      <c r="WWM341" s="82"/>
      <c r="WWN341" s="83"/>
      <c r="WWO341" s="98"/>
      <c r="WWP341" s="85"/>
      <c r="WWQ341" s="82"/>
      <c r="WWR341" s="82"/>
      <c r="WWS341" s="86"/>
      <c r="WWT341" s="82"/>
      <c r="WWU341" s="82"/>
      <c r="WWV341" s="82"/>
      <c r="WWW341" s="82"/>
      <c r="WWX341" s="83"/>
      <c r="WWY341" s="98"/>
      <c r="WWZ341" s="85"/>
      <c r="WXA341" s="82"/>
      <c r="WXB341" s="82"/>
      <c r="WXC341" s="86"/>
      <c r="WXD341" s="82"/>
      <c r="WXE341" s="82"/>
      <c r="WXF341" s="82"/>
      <c r="WXG341" s="82"/>
      <c r="WXH341" s="83"/>
      <c r="WXI341" s="98"/>
      <c r="WXJ341" s="85"/>
      <c r="WXK341" s="82"/>
      <c r="WXL341" s="82"/>
      <c r="WXM341" s="86"/>
      <c r="WXN341" s="82"/>
      <c r="WXO341" s="82"/>
      <c r="WXP341" s="82"/>
      <c r="WXQ341" s="82"/>
      <c r="WXR341" s="83"/>
      <c r="WXS341" s="98"/>
      <c r="WXT341" s="85"/>
      <c r="WXU341" s="82"/>
      <c r="WXV341" s="82"/>
      <c r="WXW341" s="86"/>
      <c r="WXX341" s="82"/>
      <c r="WXY341" s="82"/>
      <c r="WXZ341" s="82"/>
      <c r="WYA341" s="82"/>
      <c r="WYB341" s="83"/>
      <c r="WYC341" s="98"/>
      <c r="WYD341" s="85"/>
      <c r="WYE341" s="82"/>
      <c r="WYF341" s="82"/>
      <c r="WYG341" s="86"/>
      <c r="WYH341" s="82"/>
      <c r="WYI341" s="82"/>
      <c r="WYJ341" s="82"/>
      <c r="WYK341" s="82"/>
      <c r="WYL341" s="83"/>
      <c r="WYM341" s="98"/>
      <c r="WYN341" s="85"/>
      <c r="WYO341" s="82"/>
      <c r="WYP341" s="82"/>
      <c r="WYQ341" s="86"/>
      <c r="WYR341" s="82"/>
      <c r="WYS341" s="82"/>
      <c r="WYT341" s="82"/>
      <c r="WYU341" s="82"/>
      <c r="WYV341" s="83"/>
      <c r="WYW341" s="98"/>
      <c r="WYX341" s="85"/>
      <c r="WYY341" s="82"/>
      <c r="WYZ341" s="82"/>
      <c r="WZA341" s="86"/>
      <c r="WZB341" s="82"/>
      <c r="WZC341" s="82"/>
      <c r="WZD341" s="82"/>
      <c r="WZE341" s="82"/>
      <c r="WZF341" s="83"/>
      <c r="WZG341" s="98"/>
      <c r="WZH341" s="85"/>
      <c r="WZI341" s="82"/>
      <c r="WZJ341" s="82"/>
      <c r="WZK341" s="86"/>
      <c r="WZL341" s="82"/>
      <c r="WZM341" s="82"/>
      <c r="WZN341" s="82"/>
      <c r="WZO341" s="82"/>
      <c r="WZP341" s="83"/>
      <c r="WZQ341" s="98"/>
      <c r="WZR341" s="85"/>
      <c r="WZS341" s="82"/>
      <c r="WZT341" s="82"/>
      <c r="WZU341" s="86"/>
      <c r="WZV341" s="82"/>
      <c r="WZW341" s="82"/>
      <c r="WZX341" s="82"/>
      <c r="WZY341" s="82"/>
      <c r="WZZ341" s="83"/>
      <c r="XAA341" s="98"/>
      <c r="XAB341" s="85"/>
      <c r="XAC341" s="82"/>
      <c r="XAD341" s="82"/>
      <c r="XAE341" s="86"/>
      <c r="XAF341" s="82"/>
      <c r="XAG341" s="82"/>
      <c r="XAH341" s="82"/>
      <c r="XAI341" s="82"/>
      <c r="XAJ341" s="83"/>
      <c r="XAK341" s="98"/>
      <c r="XAL341" s="85"/>
      <c r="XAM341" s="82"/>
      <c r="XAN341" s="82"/>
      <c r="XAO341" s="86"/>
      <c r="XAP341" s="82"/>
      <c r="XAQ341" s="82"/>
      <c r="XAR341" s="82"/>
      <c r="XAS341" s="82"/>
      <c r="XAT341" s="83"/>
      <c r="XAU341" s="98"/>
      <c r="XAV341" s="85"/>
      <c r="XAW341" s="82"/>
      <c r="XAX341" s="82"/>
      <c r="XAY341" s="86"/>
      <c r="XAZ341" s="82"/>
      <c r="XBA341" s="82"/>
      <c r="XBB341" s="82"/>
      <c r="XBC341" s="82"/>
      <c r="XBD341" s="83"/>
      <c r="XBE341" s="98"/>
      <c r="XBF341" s="85"/>
      <c r="XBG341" s="82"/>
      <c r="XBH341" s="82"/>
      <c r="XBI341" s="86"/>
      <c r="XBJ341" s="82"/>
      <c r="XBK341" s="82"/>
      <c r="XBL341" s="82"/>
      <c r="XBM341" s="82"/>
      <c r="XBN341" s="83"/>
      <c r="XBO341" s="98"/>
      <c r="XBP341" s="85"/>
      <c r="XBQ341" s="82"/>
      <c r="XBR341" s="82"/>
      <c r="XBS341" s="86"/>
      <c r="XBT341" s="82"/>
      <c r="XBU341" s="82"/>
      <c r="XBV341" s="82"/>
      <c r="XBW341" s="82"/>
      <c r="XBX341" s="83"/>
      <c r="XBY341" s="98"/>
      <c r="XBZ341" s="85"/>
      <c r="XCA341" s="82"/>
      <c r="XCB341" s="82"/>
      <c r="XCC341" s="86"/>
      <c r="XCD341" s="82"/>
      <c r="XCE341" s="82"/>
      <c r="XCF341" s="82"/>
      <c r="XCG341" s="82"/>
      <c r="XCH341" s="83"/>
      <c r="XCI341" s="98"/>
      <c r="XCJ341" s="85"/>
      <c r="XCK341" s="82"/>
      <c r="XCL341" s="82"/>
      <c r="XCM341" s="86"/>
      <c r="XCN341" s="82"/>
      <c r="XCO341" s="82"/>
      <c r="XCP341" s="82"/>
      <c r="XCQ341" s="82"/>
      <c r="XCR341" s="83"/>
      <c r="XCS341" s="98"/>
      <c r="XCT341" s="85"/>
      <c r="XCU341" s="82"/>
      <c r="XCV341" s="82"/>
      <c r="XCW341" s="86"/>
      <c r="XCX341" s="82"/>
      <c r="XCY341" s="82"/>
      <c r="XCZ341" s="82"/>
      <c r="XDA341" s="82"/>
      <c r="XDB341" s="83"/>
      <c r="XDC341" s="98"/>
      <c r="XDD341" s="85"/>
      <c r="XDE341" s="82"/>
      <c r="XDF341" s="82"/>
      <c r="XDG341" s="86"/>
      <c r="XDH341" s="82"/>
      <c r="XDI341" s="82"/>
      <c r="XDJ341" s="82"/>
      <c r="XDK341" s="82"/>
      <c r="XDL341" s="83"/>
      <c r="XDM341" s="98"/>
      <c r="XDN341" s="85"/>
      <c r="XDO341" s="82"/>
      <c r="XDP341" s="82"/>
      <c r="XDQ341" s="86"/>
      <c r="XDR341" s="82"/>
      <c r="XDS341" s="82"/>
      <c r="XDT341" s="82"/>
      <c r="XDU341" s="82"/>
      <c r="XDV341" s="83"/>
      <c r="XDW341" s="98"/>
      <c r="XDX341" s="85"/>
      <c r="XDY341" s="82"/>
      <c r="XDZ341" s="82"/>
      <c r="XEA341" s="86"/>
      <c r="XEB341" s="82"/>
      <c r="XEC341" s="82"/>
      <c r="XED341" s="82"/>
      <c r="XEE341" s="82"/>
      <c r="XEF341" s="83"/>
      <c r="XEG341" s="98"/>
      <c r="XEH341" s="85"/>
      <c r="XEI341" s="82"/>
      <c r="XEJ341" s="82"/>
      <c r="XEK341" s="86"/>
      <c r="XEL341" s="82"/>
      <c r="XEM341" s="82"/>
      <c r="XEN341" s="82"/>
      <c r="XEO341" s="82"/>
      <c r="XEP341" s="83"/>
      <c r="XEQ341" s="98"/>
      <c r="XER341" s="85"/>
      <c r="XES341" s="82"/>
      <c r="XET341" s="82"/>
      <c r="XEU341" s="86"/>
      <c r="XEV341" s="82"/>
      <c r="XEW341" s="82"/>
      <c r="XEX341" s="82"/>
      <c r="XEY341" s="82"/>
      <c r="XEZ341" s="83"/>
      <c r="XFA341" s="98"/>
      <c r="XFB341" s="85"/>
      <c r="XFC341" s="82"/>
      <c r="XFD341" s="82"/>
    </row>
    <row r="342" spans="1:16384" ht="15" customHeight="1" x14ac:dyDescent="0.3">
      <c r="A342" s="149" t="s">
        <v>118</v>
      </c>
      <c r="B342" s="85"/>
      <c r="C342" s="82">
        <f t="shared" si="50"/>
        <v>4.4309840700000001</v>
      </c>
      <c r="D342" s="82">
        <v>9.3708970000000003E-2</v>
      </c>
      <c r="E342" s="86">
        <v>0.10177899999999999</v>
      </c>
      <c r="F342" s="82">
        <v>0.3196814</v>
      </c>
      <c r="G342" s="82">
        <v>0.72864689999999999</v>
      </c>
      <c r="H342" s="82">
        <v>0.86322080000000001</v>
      </c>
      <c r="I342" s="82">
        <v>1.118106</v>
      </c>
      <c r="J342" s="83">
        <v>1.2058409999999999</v>
      </c>
    </row>
    <row r="343" spans="1:16384" ht="15" customHeight="1" x14ac:dyDescent="0.3">
      <c r="A343" s="149" t="s">
        <v>119</v>
      </c>
      <c r="B343" s="85"/>
      <c r="C343" s="82">
        <f t="shared" si="50"/>
        <v>6.7418832200000001</v>
      </c>
      <c r="D343" s="82">
        <v>9.3708970000000003E-2</v>
      </c>
      <c r="E343" s="86">
        <v>0.10177899999999999</v>
      </c>
      <c r="F343" s="82">
        <v>0.32241864999999997</v>
      </c>
      <c r="G343" s="82">
        <v>0.74296270000000009</v>
      </c>
      <c r="H343" s="82">
        <v>0.8823164</v>
      </c>
      <c r="I343" s="82">
        <v>1.1409974999999999</v>
      </c>
      <c r="J343" s="83">
        <v>3.4577</v>
      </c>
    </row>
    <row r="344" spans="1:16384" ht="15" customHeight="1" x14ac:dyDescent="0.3">
      <c r="A344" s="149" t="s">
        <v>120</v>
      </c>
      <c r="B344" s="85"/>
      <c r="C344" s="82">
        <f t="shared" si="50"/>
        <v>4.6528767200000001</v>
      </c>
      <c r="D344" s="82">
        <v>9.3708970000000003E-2</v>
      </c>
      <c r="E344" s="86">
        <v>0.10177899999999999</v>
      </c>
      <c r="F344" s="82">
        <v>0.32531864999999999</v>
      </c>
      <c r="G344" s="82">
        <v>0.7568627</v>
      </c>
      <c r="H344" s="82">
        <v>0.90011639999999993</v>
      </c>
      <c r="I344" s="82">
        <v>1.1822319999999999</v>
      </c>
      <c r="J344" s="83">
        <v>1.292859</v>
      </c>
    </row>
    <row r="345" spans="1:16384" ht="15" customHeight="1" x14ac:dyDescent="0.3">
      <c r="A345" s="149" t="s">
        <v>121</v>
      </c>
      <c r="B345" s="85"/>
      <c r="C345" s="82">
        <f t="shared" si="50"/>
        <v>4.7596816999999998</v>
      </c>
      <c r="D345" s="82">
        <v>9.3708910000000006E-2</v>
      </c>
      <c r="E345" s="86">
        <v>0.10177894</v>
      </c>
      <c r="F345" s="82">
        <v>0.32805354999999997</v>
      </c>
      <c r="G345" s="82">
        <v>0.76794169999999995</v>
      </c>
      <c r="H345" s="82">
        <v>0.9150296</v>
      </c>
      <c r="I345" s="82">
        <v>1.198617</v>
      </c>
      <c r="J345" s="83">
        <v>1.354552</v>
      </c>
    </row>
    <row r="346" spans="1:16384" ht="15" customHeight="1" x14ac:dyDescent="0.3">
      <c r="A346" s="149" t="s">
        <v>122</v>
      </c>
      <c r="B346" s="85"/>
      <c r="C346" s="82">
        <f t="shared" si="50"/>
        <v>4.8898446199999999</v>
      </c>
      <c r="D346" s="82">
        <v>9.3708890000000003E-2</v>
      </c>
      <c r="E346" s="86">
        <v>0.10177886</v>
      </c>
      <c r="F346" s="82">
        <v>0.33104915000000001</v>
      </c>
      <c r="G346" s="82">
        <v>0.7851032</v>
      </c>
      <c r="H346" s="82">
        <v>0.94488302000000002</v>
      </c>
      <c r="I346" s="82">
        <v>1.2173785000000001</v>
      </c>
      <c r="J346" s="83">
        <v>1.415943</v>
      </c>
    </row>
    <row r="347" spans="1:16384" ht="15" customHeight="1" x14ac:dyDescent="0.3">
      <c r="A347" s="149" t="s">
        <v>123</v>
      </c>
      <c r="B347" s="85"/>
      <c r="C347" s="82">
        <f t="shared" si="50"/>
        <v>4.9581114500000005</v>
      </c>
      <c r="D347" s="82">
        <v>9.3708890000000003E-2</v>
      </c>
      <c r="E347" s="86">
        <v>0.10177886</v>
      </c>
      <c r="F347" s="82">
        <v>0.33329770000000003</v>
      </c>
      <c r="G347" s="82">
        <v>0.79609010000000002</v>
      </c>
      <c r="H347" s="82">
        <v>0.95318040000000004</v>
      </c>
      <c r="I347" s="82">
        <v>1.2281455000000001</v>
      </c>
      <c r="J347" s="83">
        <v>1.45191</v>
      </c>
    </row>
    <row r="348" spans="1:16384" ht="15" customHeight="1" x14ac:dyDescent="0.3">
      <c r="A348" s="149" t="s">
        <v>124</v>
      </c>
      <c r="B348" s="85"/>
      <c r="C348" s="82">
        <f t="shared" si="50"/>
        <v>5.0936715899999996</v>
      </c>
      <c r="D348" s="82">
        <v>9.3708890000000003E-2</v>
      </c>
      <c r="E348" s="86">
        <v>0.10177899999999999</v>
      </c>
      <c r="F348" s="82">
        <v>0.33629770000000003</v>
      </c>
      <c r="G348" s="82">
        <v>0.8052900999999999</v>
      </c>
      <c r="H348" s="82">
        <v>0.97274039999999995</v>
      </c>
      <c r="I348" s="82">
        <v>1.2689455000000001</v>
      </c>
      <c r="J348" s="83">
        <v>1.51491</v>
      </c>
    </row>
    <row r="349" spans="1:16384" ht="15" customHeight="1" x14ac:dyDescent="0.3">
      <c r="A349" s="149" t="s">
        <v>125</v>
      </c>
      <c r="B349" s="85"/>
      <c r="C349" s="82">
        <f t="shared" ref="C349" si="51">SUM(D349:J349)</f>
        <v>5.0673619600000004</v>
      </c>
      <c r="D349" s="82">
        <v>0</v>
      </c>
      <c r="E349" s="86">
        <v>0.10177886</v>
      </c>
      <c r="F349" s="82">
        <v>0.33833750000000001</v>
      </c>
      <c r="G349" s="82">
        <v>0.81303009999999998</v>
      </c>
      <c r="H349" s="82">
        <v>0.98483299999999996</v>
      </c>
      <c r="I349" s="82">
        <v>1.2871565</v>
      </c>
      <c r="J349" s="83">
        <v>1.5422260000000001</v>
      </c>
    </row>
    <row r="350" spans="1:16384" ht="15" customHeight="1" x14ac:dyDescent="0.3">
      <c r="A350" s="149" t="s">
        <v>126</v>
      </c>
      <c r="B350" s="85"/>
      <c r="C350" s="82">
        <f t="shared" ref="C350:C355" si="52">SUM(D350:J350)</f>
        <v>5.4175579100000002</v>
      </c>
      <c r="D350" s="82">
        <v>9.3708890000000003E-2</v>
      </c>
      <c r="E350" s="86">
        <f>0.10177886+0.10177886</f>
        <v>0.20355772</v>
      </c>
      <c r="F350" s="82">
        <f>0.0859195+0.2546774</f>
        <v>0.34059689999999998</v>
      </c>
      <c r="G350" s="82">
        <f>0.3875658+0.4388641</f>
        <v>0.82642989999999994</v>
      </c>
      <c r="H350" s="82">
        <f>0.5892258+0.4215272</f>
        <v>1.010753</v>
      </c>
      <c r="I350" s="82">
        <f>0.8349655+0.495841</f>
        <v>1.3308065</v>
      </c>
      <c r="J350" s="83">
        <v>1.6117049999999999</v>
      </c>
    </row>
    <row r="351" spans="1:16384" ht="15" customHeight="1" x14ac:dyDescent="0.3">
      <c r="A351" s="149" t="s">
        <v>127</v>
      </c>
      <c r="B351" s="85"/>
      <c r="C351" s="82">
        <f t="shared" si="52"/>
        <v>5.4195058100000004</v>
      </c>
      <c r="D351" s="82">
        <f>0.09370887</f>
        <v>9.370887E-2</v>
      </c>
      <c r="E351" s="86">
        <f>0.10177884</f>
        <v>0.10177884</v>
      </c>
      <c r="F351" s="82">
        <f>0.08983915+0.25467585</f>
        <v>0.34451500000000002</v>
      </c>
      <c r="G351" s="82">
        <f>0.403148+0.4388492</f>
        <v>0.8419972</v>
      </c>
      <c r="H351" s="82">
        <f>0.6135116+0.4215048</f>
        <v>1.0350163999999999</v>
      </c>
      <c r="I351" s="82">
        <f>0.849758+0.4958145</f>
        <v>1.3455725000000001</v>
      </c>
      <c r="J351" s="83">
        <f>1.656917</f>
        <v>1.656917</v>
      </c>
    </row>
    <row r="352" spans="1:16384" ht="15" customHeight="1" x14ac:dyDescent="0.3">
      <c r="A352" s="149" t="s">
        <v>128</v>
      </c>
      <c r="B352" s="85"/>
      <c r="C352" s="82">
        <f t="shared" si="52"/>
        <v>5.4731596499999995</v>
      </c>
      <c r="D352" s="82">
        <f>0.09370875</f>
        <v>9.3708749999999993E-2</v>
      </c>
      <c r="E352" s="86">
        <f>0.101779</f>
        <v>0.10177899999999999</v>
      </c>
      <c r="F352" s="82">
        <f>0.0918357+0.254674</f>
        <v>0.34650970000000003</v>
      </c>
      <c r="G352" s="82">
        <f>0.4231082+0.4388466</f>
        <v>0.86195479999999991</v>
      </c>
      <c r="H352" s="82">
        <f>0.6326546+0.4215008</f>
        <v>1.0541554</v>
      </c>
      <c r="I352" s="82">
        <f>0.8510205+0.4958105</f>
        <v>1.3468309999999999</v>
      </c>
      <c r="J352" s="83">
        <f>1.668221</f>
        <v>1.668221</v>
      </c>
    </row>
    <row r="353" spans="1:10" ht="15" customHeight="1" x14ac:dyDescent="0.3">
      <c r="A353" s="149" t="s">
        <v>129</v>
      </c>
      <c r="B353" s="85"/>
      <c r="C353" s="82">
        <f t="shared" si="52"/>
        <v>5.52542241</v>
      </c>
      <c r="D353" s="82">
        <v>9.3708739999999999E-2</v>
      </c>
      <c r="E353" s="86">
        <v>0.10177872</v>
      </c>
      <c r="F353" s="82">
        <f>0.09670265+0.2546652</f>
        <v>0.35136784999999998</v>
      </c>
      <c r="G353" s="82">
        <f>0.4232764+0.438801</f>
        <v>0.86207739999999999</v>
      </c>
      <c r="H353" s="82">
        <f>0.6329278+0.4214454</f>
        <v>1.0543732000000001</v>
      </c>
      <c r="I353" s="82">
        <f>0.859451+0.4927655</f>
        <v>1.3522164999999999</v>
      </c>
      <c r="J353" s="83">
        <v>1.7099</v>
      </c>
    </row>
    <row r="354" spans="1:10" ht="15" customHeight="1" x14ac:dyDescent="0.3">
      <c r="A354" s="149" t="s">
        <v>130</v>
      </c>
      <c r="B354" s="85"/>
      <c r="C354" s="82">
        <f t="shared" si="52"/>
        <v>5.6652216600000003</v>
      </c>
      <c r="D354" s="82">
        <f>0.09370874</f>
        <v>9.3708739999999999E-2</v>
      </c>
      <c r="E354" s="86">
        <v>0.10177872</v>
      </c>
      <c r="F354" s="82">
        <f>0.25466025+0.10095085</f>
        <v>0.35561109999999996</v>
      </c>
      <c r="G354" s="82">
        <f>0.4387757+0.4412321</f>
        <v>0.88000780000000001</v>
      </c>
      <c r="H354" s="82">
        <f>0.4214172+0.6603546</f>
        <v>1.0817718000000001</v>
      </c>
      <c r="I354" s="82">
        <f>0.495752+0.9053085</f>
        <v>1.4010605</v>
      </c>
      <c r="J354" s="83">
        <v>1.7512829999999999</v>
      </c>
    </row>
    <row r="355" spans="1:10" ht="15" customHeight="1" x14ac:dyDescent="0.3">
      <c r="A355" s="149" t="s">
        <v>131</v>
      </c>
      <c r="B355" s="85"/>
      <c r="C355" s="82">
        <f t="shared" si="52"/>
        <v>5.7945406300000002</v>
      </c>
      <c r="D355" s="82">
        <v>9.3708730000000004E-2</v>
      </c>
      <c r="E355" s="86">
        <f>0.1017787</f>
        <v>0.1017787</v>
      </c>
      <c r="F355" s="82">
        <f>0.2546579+0.1019334</f>
        <v>0.3565913</v>
      </c>
      <c r="G355" s="82">
        <f>0.4387595+0.4542493</f>
        <v>0.89300880000000005</v>
      </c>
      <c r="H355" s="82">
        <f>0.4213986+0.684419</f>
        <v>1.1058176</v>
      </c>
      <c r="I355" s="82">
        <f>0.4957475+0.942941</f>
        <v>1.4386885</v>
      </c>
      <c r="J355" s="83">
        <v>1.8049470000000001</v>
      </c>
    </row>
    <row r="356" spans="1:10" ht="15" customHeight="1" x14ac:dyDescent="0.3">
      <c r="A356" s="149" t="s">
        <v>190</v>
      </c>
      <c r="B356" s="85"/>
      <c r="C356" s="82">
        <f t="shared" ref="C356" si="53">SUM(D356:J356)</f>
        <v>5.7008260499999999</v>
      </c>
      <c r="D356" s="82">
        <v>0</v>
      </c>
      <c r="E356" s="86">
        <v>0</v>
      </c>
      <c r="F356" s="82">
        <f>0.2546537+0.10356455</f>
        <v>0.35821824999999996</v>
      </c>
      <c r="G356" s="82">
        <f>0.4387015+0.4641379</f>
        <v>0.90283939999999996</v>
      </c>
      <c r="H356" s="82">
        <f>0.4213254+0.701384</f>
        <v>1.1227094</v>
      </c>
      <c r="I356" s="82">
        <f>0.4917215+0.9733865</f>
        <v>1.4651080000000001</v>
      </c>
      <c r="J356" s="83">
        <f>1.851951</f>
        <v>1.8519509999999999</v>
      </c>
    </row>
    <row r="357" spans="1:10" ht="15" customHeight="1" x14ac:dyDescent="0.3">
      <c r="A357" s="149" t="s">
        <v>191</v>
      </c>
      <c r="B357" s="85"/>
      <c r="C357" s="82">
        <f t="shared" ref="C357" si="54">SUM(D357:J357)</f>
        <v>5.9379611599999995</v>
      </c>
      <c r="D357" s="82">
        <v>9.3708429999999995E-2</v>
      </c>
      <c r="E357" s="86">
        <v>0.10177838</v>
      </c>
      <c r="F357" s="82">
        <f>0.10475075+0.2546537</f>
        <v>0.35940444999999999</v>
      </c>
      <c r="G357" s="82">
        <f>0.4701312+0.4387015</f>
        <v>0.90883270000000005</v>
      </c>
      <c r="H357" s="82">
        <f>0.7071698+0.4213254</f>
        <v>1.1284951999999999</v>
      </c>
      <c r="I357" s="82">
        <f>0.9889385+0.4957215</f>
        <v>1.4846600000000001</v>
      </c>
      <c r="J357" s="83">
        <v>1.8610819999999999</v>
      </c>
    </row>
    <row r="358" spans="1:10" ht="15" customHeight="1" x14ac:dyDescent="0.3">
      <c r="A358" s="149" t="s">
        <v>192</v>
      </c>
      <c r="B358" s="85"/>
      <c r="C358" s="82">
        <f t="shared" ref="C358" si="55">SUM(D358:J358)</f>
        <v>6.0176127600000004</v>
      </c>
      <c r="D358" s="82">
        <v>9.3708429999999995E-2</v>
      </c>
      <c r="E358" s="86">
        <v>0.10177838</v>
      </c>
      <c r="F358" s="82">
        <f>0.1077455+0.25465205</f>
        <v>0.36239755000000001</v>
      </c>
      <c r="G358" s="82">
        <f>0.4828868+0.4386979</f>
        <v>0.92158469999999992</v>
      </c>
      <c r="H358" s="82">
        <f>0.7173044+0.4213248</f>
        <v>1.1386292</v>
      </c>
      <c r="I358" s="82">
        <f>1.018503+0.4957215</f>
        <v>1.5142244999999999</v>
      </c>
      <c r="J358" s="83">
        <v>1.8852899999999999</v>
      </c>
    </row>
    <row r="359" spans="1:10" ht="15" customHeight="1" x14ac:dyDescent="0.3">
      <c r="A359" s="149" t="s">
        <v>194</v>
      </c>
      <c r="B359" s="85"/>
      <c r="C359" s="82">
        <f t="shared" ref="C359" si="56">SUM(D359:J359)</f>
        <v>6.1409611100000001</v>
      </c>
      <c r="D359" s="82">
        <v>9.3708429999999995E-2</v>
      </c>
      <c r="E359" s="86">
        <v>0.10177838</v>
      </c>
      <c r="F359" s="82">
        <f>0.25465205+0.11123935</f>
        <v>0.36589140000000003</v>
      </c>
      <c r="G359" s="82">
        <f>0.4386979+0.4988185</f>
        <v>0.93751640000000003</v>
      </c>
      <c r="H359" s="82">
        <f>0.4213248+0.7293872</f>
        <v>1.150712</v>
      </c>
      <c r="I359" s="82">
        <f>0.4957215+1.050799</f>
        <v>1.5465205</v>
      </c>
      <c r="J359" s="83">
        <v>1.944834</v>
      </c>
    </row>
    <row r="360" spans="1:10" ht="15" customHeight="1" x14ac:dyDescent="0.3">
      <c r="A360" s="169" t="s">
        <v>248</v>
      </c>
      <c r="B360" s="85"/>
      <c r="C360" s="82">
        <f t="shared" ref="C360:C361" si="57">SUM(D360:J360)</f>
        <v>6.2121916600000002</v>
      </c>
      <c r="D360" s="82">
        <v>9.3708429999999995E-2</v>
      </c>
      <c r="E360" s="86">
        <v>0.10177838</v>
      </c>
      <c r="F360" s="82">
        <f>0.25465095+0.1127523</f>
        <v>0.36740324999999996</v>
      </c>
      <c r="G360" s="82">
        <f>0.4386901+0.5103483</f>
        <v>0.94903840000000006</v>
      </c>
      <c r="H360" s="82">
        <f>0.4213188+0.7415014</f>
        <v>1.1628202000000001</v>
      </c>
      <c r="I360" s="82">
        <f>0.4957175+1.0733745</f>
        <v>1.5690919999999999</v>
      </c>
      <c r="J360" s="83">
        <v>1.968351</v>
      </c>
    </row>
    <row r="361" spans="1:10" ht="15" customHeight="1" x14ac:dyDescent="0.3">
      <c r="A361" s="170" t="s">
        <v>249</v>
      </c>
      <c r="B361" s="155"/>
      <c r="C361" s="96">
        <f t="shared" si="57"/>
        <v>6.3144919100000001</v>
      </c>
      <c r="D361" s="173">
        <v>9.3708429999999995E-2</v>
      </c>
      <c r="E361" s="174">
        <v>0.10177838</v>
      </c>
      <c r="F361" s="173">
        <f>0.25465095+0.11325055</f>
        <v>0.36790149999999999</v>
      </c>
      <c r="G361" s="173">
        <f>0.4386901+0.5223312</f>
        <v>0.96102130000000008</v>
      </c>
      <c r="H361" s="173">
        <f>0.4213188+0.762567</f>
        <v>1.1838858000000001</v>
      </c>
      <c r="I361" s="173">
        <f>0.4957175+1.100261</f>
        <v>1.5959785</v>
      </c>
      <c r="J361" s="175">
        <v>2.0102180000000001</v>
      </c>
    </row>
    <row r="362" spans="1:10" ht="15" customHeight="1" x14ac:dyDescent="0.3">
      <c r="A362" s="152" t="s">
        <v>87</v>
      </c>
      <c r="B362" s="97"/>
      <c r="C362" s="97"/>
      <c r="D362" s="47"/>
      <c r="E362" s="82"/>
      <c r="F362" s="82"/>
      <c r="G362" s="82"/>
      <c r="H362" s="82"/>
      <c r="I362" s="82"/>
      <c r="J362" s="48"/>
    </row>
    <row r="363" spans="1:10" ht="15" customHeight="1" x14ac:dyDescent="0.3">
      <c r="A363" s="152"/>
      <c r="B363" s="60"/>
      <c r="C363" s="60"/>
      <c r="D363" s="60"/>
      <c r="E363" s="84"/>
      <c r="F363" s="84"/>
      <c r="G363" s="84"/>
      <c r="H363" s="84"/>
      <c r="I363" s="84"/>
      <c r="J363" s="84"/>
    </row>
    <row r="365" spans="1:10" x14ac:dyDescent="0.3">
      <c r="A365" s="157" t="s">
        <v>247</v>
      </c>
      <c r="B365" s="156"/>
      <c r="C365" s="156"/>
      <c r="D365" s="156"/>
    </row>
  </sheetData>
  <mergeCells count="4">
    <mergeCell ref="D5:J5"/>
    <mergeCell ref="D191:J191"/>
    <mergeCell ref="A2:J2"/>
    <mergeCell ref="A3:J3"/>
  </mergeCells>
  <pageMargins left="0.7" right="0.7" top="0.75" bottom="0.75" header="0.3" footer="0.3"/>
  <pageSetup paperSize="9" scale="80" orientation="portrait" r:id="rId1"/>
  <ignoredErrors>
    <ignoredError sqref="J192 D7:I7" numberStoredAsText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A_Depository Corporations Surve</vt:lpstr>
      <vt:lpstr>A_Denominations of Currency </vt:lpstr>
      <vt:lpstr>'A_Depository Corporations Surve'!Print_Area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Kasanita Ofa</dc:creator>
  <cp:lastModifiedBy>Seneti Lasike</cp:lastModifiedBy>
  <cp:lastPrinted>2025-06-12T03:13:08Z</cp:lastPrinted>
  <dcterms:created xsi:type="dcterms:W3CDTF">2017-12-11T23:14:17Z</dcterms:created>
  <dcterms:modified xsi:type="dcterms:W3CDTF">2025-06-23T03:36:34Z</dcterms:modified>
</cp:coreProperties>
</file>