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Communication\Publications\Quarterly Bulletins\Tables\2025\202503\"/>
    </mc:Choice>
  </mc:AlternateContent>
  <bookViews>
    <workbookView xWindow="192" yWindow="900" windowWidth="13908" windowHeight="5148" tabRatio="783" firstSheet="6" activeTab="19"/>
  </bookViews>
  <sheets>
    <sheet name="Readme" sheetId="12" state="hidden" r:id="rId1"/>
    <sheet name="AGRVA" sheetId="2" state="hidden" r:id="rId2"/>
    <sheet name="AGRVO" sheetId="3" state="hidden" r:id="rId3"/>
    <sheet name="AGRUV" sheetId="4" state="hidden" r:id="rId4"/>
    <sheet name="D_AGRVA_old" sheetId="9" state="hidden" r:id="rId5"/>
    <sheet name="D_AGRVO_old" sheetId="10" state="hidden" r:id="rId6"/>
    <sheet name="D_IND" sheetId="1" r:id="rId7"/>
    <sheet name="D_AGRVA" sheetId="14" r:id="rId8"/>
    <sheet name="D_AGRVA COPY" sheetId="19" state="hidden" r:id="rId9"/>
    <sheet name="D_AGRVO" sheetId="28" r:id="rId10"/>
    <sheet name="D_AGRUV_old" sheetId="16" state="hidden" r:id="rId11"/>
    <sheet name="D_AGRUV" sheetId="11" r:id="rId12"/>
    <sheet name="D_CPI_H" sheetId="13" state="hidden" r:id="rId13"/>
    <sheet name="D_AGRVO_new" sheetId="17" state="hidden" r:id="rId14"/>
    <sheet name="CPI_H_old2" sheetId="8" state="hidden" r:id="rId15"/>
    <sheet name="MANUF" sheetId="5" state="hidden" r:id="rId16"/>
    <sheet name="CPI_H_old" sheetId="6" state="hidden" r:id="rId17"/>
    <sheet name="CPI_U" sheetId="7" state="hidden" r:id="rId18"/>
    <sheet name="CPI_H_for Bulletin" sheetId="26" state="hidden" r:id="rId19"/>
    <sheet name="CPI" sheetId="2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Regression_Int" localSheetId="3" hidden="1">1</definedName>
    <definedName name="_Regression_Int" localSheetId="1" hidden="1">1</definedName>
    <definedName name="_Regression_Int" localSheetId="2" hidden="1">1</definedName>
    <definedName name="_Regression_Int" localSheetId="19" hidden="1">1</definedName>
    <definedName name="_Regression_Int" localSheetId="18" hidden="1">1</definedName>
    <definedName name="_Regression_Int" localSheetId="16" hidden="1">1</definedName>
    <definedName name="_Regression_Int" localSheetId="14" hidden="1">1</definedName>
    <definedName name="_Regression_Int" localSheetId="11" hidden="1">1</definedName>
    <definedName name="_Regression_Int" localSheetId="10" hidden="1">1</definedName>
    <definedName name="_Regression_Int" localSheetId="7" hidden="1">1</definedName>
    <definedName name="_Regression_Int" localSheetId="8" hidden="1">1</definedName>
    <definedName name="_Regression_Int" localSheetId="4" hidden="1">1</definedName>
    <definedName name="_Regression_Int" localSheetId="9" hidden="1">1</definedName>
    <definedName name="_Regression_Int" localSheetId="13" hidden="1">1</definedName>
    <definedName name="_Regression_Int" localSheetId="5" hidden="1">1</definedName>
    <definedName name="_Regression_Int" localSheetId="12" hidden="1">1</definedName>
    <definedName name="_Regression_Int" localSheetId="6" hidden="1">1</definedName>
    <definedName name="_Regression_Int" localSheetId="15" hidden="1">1</definedName>
    <definedName name="_xlnm.Print_Area" localSheetId="3">AGRUV!$C$10:$J$105</definedName>
    <definedName name="_xlnm.Print_Area" localSheetId="1">AGRVA!$A$1:$J$108</definedName>
    <definedName name="_xlnm.Print_Area" localSheetId="2">AGRVO!$A$1:$J$105</definedName>
    <definedName name="_xlnm.Print_Area" localSheetId="19">CPI!$A$1:$AM$67</definedName>
    <definedName name="_xlnm.Print_Area" localSheetId="18">'CPI_H_for Bulletin'!$A$1:$EY$39</definedName>
    <definedName name="_xlnm.Print_Area" localSheetId="16">CPI_H_old!$A$1:$DD$39</definedName>
    <definedName name="_xlnm.Print_Area" localSheetId="14">CPI_H_old2!$A$1:$BQ$39</definedName>
    <definedName name="_xlnm.Print_Area" localSheetId="17">CPI_U!$A$1:$BC$28</definedName>
    <definedName name="_xlnm.Print_Area" localSheetId="11">D_AGRUV!$A$1:$AG$151</definedName>
    <definedName name="_xlnm.Print_Area" localSheetId="10">D_AGRUV_old!$C$7:$J$57</definedName>
    <definedName name="_xlnm.Print_Area" localSheetId="7">D_AGRVA!$A$1:$I$131</definedName>
    <definedName name="_xlnm.Print_Area" localSheetId="8">'D_AGRVA COPY'!$A$1:$J$67</definedName>
    <definedName name="_xlnm.Print_Area" localSheetId="4">D_AGRVA_old!$A$1:$J$57</definedName>
    <definedName name="_xlnm.Print_Area" localSheetId="9">D_AGRVO!$A$1:$I$130</definedName>
    <definedName name="_xlnm.Print_Area" localSheetId="13">D_AGRVO_new!$A$1:$J$61</definedName>
    <definedName name="_xlnm.Print_Area" localSheetId="5">D_AGRVO_old!$A$1:$J$55</definedName>
    <definedName name="_xlnm.Print_Area" localSheetId="12">D_CPI_H!$A$1:$CB$40</definedName>
    <definedName name="_xlnm.Print_Area" localSheetId="6">D_IND!$A$1:$J$134</definedName>
    <definedName name="_xlnm.Print_Area" localSheetId="15">MANUF!$A$1:$O$64</definedName>
    <definedName name="_xlnm.Print_Titles" localSheetId="3">AGRUV!$A:$B,AGRUV!$1:$6</definedName>
    <definedName name="_xlnm.Print_Titles" localSheetId="2">AGRVO!$A:$B,AGRVO!$1:$6</definedName>
    <definedName name="_xlnm.Print_Titles" localSheetId="11">D_AGRUV!$A:$A,D_AGRUV!$1:$6</definedName>
    <definedName name="_xlnm.Print_Titles" localSheetId="10">D_AGRUV_old!$A:$B,D_AGRUV_old!$1:$6</definedName>
    <definedName name="_xlnm.Print_Titles" localSheetId="13">D_AGRVO_new!$A:$B,D_AGRVO_new!$1:$6</definedName>
    <definedName name="_xlnm.Print_Titles" localSheetId="5">D_AGRVO_old!$A:$B,D_AGRVO_old!$1:$6</definedName>
  </definedNames>
  <calcPr calcId="162913"/>
</workbook>
</file>

<file path=xl/calcChain.xml><?xml version="1.0" encoding="utf-8"?>
<calcChain xmlns="http://schemas.openxmlformats.org/spreadsheetml/2006/main">
  <c r="B38" i="1" l="1"/>
  <c r="B37" i="1"/>
  <c r="I31" i="28" l="1"/>
  <c r="H31" i="28"/>
  <c r="G31" i="28"/>
  <c r="F31" i="28"/>
  <c r="E31" i="28"/>
  <c r="D31" i="28"/>
  <c r="C31" i="28"/>
  <c r="I32" i="14"/>
  <c r="H32" i="14"/>
  <c r="G32" i="14"/>
  <c r="F32" i="14"/>
  <c r="F32" i="11" s="1"/>
  <c r="E32" i="14"/>
  <c r="D32" i="14"/>
  <c r="C32" i="14"/>
  <c r="E32" i="11" l="1"/>
  <c r="C32" i="11"/>
  <c r="D32" i="11"/>
  <c r="B31" i="28"/>
  <c r="I32" i="11"/>
  <c r="H32" i="11"/>
  <c r="G32" i="11"/>
  <c r="B32" i="14"/>
  <c r="J32" i="14" l="1"/>
  <c r="B32" i="11"/>
  <c r="J31" i="28"/>
  <c r="H35" i="1"/>
  <c r="G35" i="1" l="1"/>
  <c r="B35" i="1" l="1"/>
  <c r="E19" i="27" l="1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U35" i="27" l="1"/>
  <c r="T35" i="27"/>
  <c r="S35" i="27"/>
  <c r="R35" i="27"/>
  <c r="Q35" i="27"/>
  <c r="P35" i="27"/>
  <c r="O35" i="27"/>
  <c r="N35" i="27"/>
  <c r="M35" i="27"/>
  <c r="L35" i="27"/>
  <c r="K35" i="27"/>
  <c r="J35" i="27"/>
  <c r="I35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I31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I32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U19" i="27"/>
  <c r="U18" i="27"/>
  <c r="U7" i="27"/>
  <c r="U8" i="27"/>
  <c r="U9" i="27"/>
  <c r="U10" i="27"/>
  <c r="U11" i="27"/>
  <c r="U12" i="27"/>
  <c r="U13" i="27"/>
  <c r="U14" i="27"/>
  <c r="U15" i="27"/>
  <c r="U16" i="27"/>
  <c r="U17" i="27"/>
  <c r="U6" i="27"/>
  <c r="U5" i="27"/>
  <c r="T19" i="27"/>
  <c r="T18" i="27"/>
  <c r="T7" i="27"/>
  <c r="T8" i="27"/>
  <c r="T9" i="27"/>
  <c r="T10" i="27"/>
  <c r="T11" i="27"/>
  <c r="T12" i="27"/>
  <c r="T13" i="27"/>
  <c r="T14" i="27"/>
  <c r="T15" i="27"/>
  <c r="T16" i="27"/>
  <c r="T17" i="27"/>
  <c r="T6" i="27"/>
  <c r="T5" i="27"/>
  <c r="S19" i="27"/>
  <c r="S18" i="27"/>
  <c r="S7" i="27"/>
  <c r="S8" i="27"/>
  <c r="S9" i="27"/>
  <c r="S10" i="27"/>
  <c r="S11" i="27"/>
  <c r="S12" i="27"/>
  <c r="S13" i="27"/>
  <c r="S14" i="27"/>
  <c r="S15" i="27"/>
  <c r="S16" i="27"/>
  <c r="S17" i="27"/>
  <c r="S6" i="27"/>
  <c r="S5" i="27"/>
  <c r="R19" i="27"/>
  <c r="R18" i="27"/>
  <c r="R7" i="27"/>
  <c r="R8" i="27"/>
  <c r="R9" i="27"/>
  <c r="R10" i="27"/>
  <c r="R11" i="27"/>
  <c r="R12" i="27"/>
  <c r="R13" i="27"/>
  <c r="R14" i="27"/>
  <c r="R15" i="27"/>
  <c r="R16" i="27"/>
  <c r="R17" i="27"/>
  <c r="R6" i="27"/>
  <c r="R5" i="27"/>
  <c r="Q19" i="27"/>
  <c r="Q18" i="27"/>
  <c r="Q7" i="27"/>
  <c r="Q8" i="27"/>
  <c r="Q9" i="27"/>
  <c r="Q10" i="27"/>
  <c r="Q11" i="27"/>
  <c r="Q12" i="27"/>
  <c r="Q13" i="27"/>
  <c r="Q14" i="27"/>
  <c r="Q15" i="27"/>
  <c r="Q16" i="27"/>
  <c r="Q17" i="27"/>
  <c r="Q6" i="27"/>
  <c r="Q5" i="27"/>
  <c r="P19" i="27"/>
  <c r="P18" i="27"/>
  <c r="P7" i="27"/>
  <c r="P8" i="27"/>
  <c r="P9" i="27"/>
  <c r="P10" i="27"/>
  <c r="P11" i="27"/>
  <c r="P12" i="27"/>
  <c r="P13" i="27"/>
  <c r="P14" i="27"/>
  <c r="P15" i="27"/>
  <c r="P16" i="27"/>
  <c r="P17" i="27"/>
  <c r="P6" i="27"/>
  <c r="P5" i="27"/>
  <c r="O19" i="27"/>
  <c r="O18" i="27"/>
  <c r="O7" i="27"/>
  <c r="O8" i="27"/>
  <c r="O9" i="27"/>
  <c r="O10" i="27"/>
  <c r="O11" i="27"/>
  <c r="O12" i="27"/>
  <c r="O13" i="27"/>
  <c r="O14" i="27"/>
  <c r="O15" i="27"/>
  <c r="O16" i="27"/>
  <c r="O17" i="27"/>
  <c r="O6" i="27"/>
  <c r="O5" i="27"/>
  <c r="N19" i="27"/>
  <c r="N18" i="27"/>
  <c r="N7" i="27"/>
  <c r="N8" i="27"/>
  <c r="N9" i="27"/>
  <c r="N10" i="27"/>
  <c r="N11" i="27"/>
  <c r="N12" i="27"/>
  <c r="N13" i="27"/>
  <c r="N14" i="27"/>
  <c r="N15" i="27"/>
  <c r="N16" i="27"/>
  <c r="N17" i="27"/>
  <c r="N6" i="27"/>
  <c r="N5" i="27"/>
  <c r="M19" i="27"/>
  <c r="M18" i="27"/>
  <c r="M7" i="27"/>
  <c r="M8" i="27"/>
  <c r="M9" i="27"/>
  <c r="M10" i="27"/>
  <c r="M11" i="27"/>
  <c r="M12" i="27"/>
  <c r="M13" i="27"/>
  <c r="M14" i="27"/>
  <c r="M15" i="27"/>
  <c r="M16" i="27"/>
  <c r="M17" i="27"/>
  <c r="M6" i="27"/>
  <c r="M5" i="27"/>
  <c r="L19" i="27"/>
  <c r="L18" i="27"/>
  <c r="L7" i="27"/>
  <c r="L8" i="27"/>
  <c r="L9" i="27"/>
  <c r="L10" i="27"/>
  <c r="L11" i="27"/>
  <c r="L12" i="27"/>
  <c r="L13" i="27"/>
  <c r="L14" i="27"/>
  <c r="L15" i="27"/>
  <c r="L16" i="27"/>
  <c r="L17" i="27"/>
  <c r="L6" i="27"/>
  <c r="L5" i="27"/>
  <c r="K19" i="27"/>
  <c r="K18" i="27"/>
  <c r="K7" i="27"/>
  <c r="K8" i="27"/>
  <c r="K9" i="27"/>
  <c r="K10" i="27"/>
  <c r="K11" i="27"/>
  <c r="K12" i="27"/>
  <c r="K13" i="27"/>
  <c r="K14" i="27"/>
  <c r="K15" i="27"/>
  <c r="K16" i="27"/>
  <c r="K17" i="27"/>
  <c r="K6" i="27"/>
  <c r="K5" i="27"/>
  <c r="J19" i="27"/>
  <c r="J18" i="27"/>
  <c r="J7" i="27"/>
  <c r="J8" i="27"/>
  <c r="J9" i="27"/>
  <c r="J10" i="27"/>
  <c r="J11" i="27"/>
  <c r="J12" i="27"/>
  <c r="J13" i="27"/>
  <c r="J14" i="27"/>
  <c r="J15" i="27"/>
  <c r="J16" i="27"/>
  <c r="J17" i="27"/>
  <c r="J6" i="27"/>
  <c r="J5" i="27"/>
  <c r="I19" i="27"/>
  <c r="I18" i="27"/>
  <c r="I7" i="27"/>
  <c r="I8" i="27"/>
  <c r="I9" i="27"/>
  <c r="I10" i="27"/>
  <c r="I11" i="27"/>
  <c r="I12" i="27"/>
  <c r="I13" i="27"/>
  <c r="I14" i="27"/>
  <c r="I15" i="27"/>
  <c r="I16" i="27"/>
  <c r="I17" i="27"/>
  <c r="I6" i="27"/>
  <c r="I5" i="27"/>
  <c r="H19" i="27"/>
  <c r="H18" i="27"/>
  <c r="H7" i="27"/>
  <c r="H8" i="27"/>
  <c r="H9" i="27"/>
  <c r="H10" i="27"/>
  <c r="H11" i="27"/>
  <c r="H12" i="27"/>
  <c r="H13" i="27"/>
  <c r="H14" i="27"/>
  <c r="H15" i="27"/>
  <c r="H16" i="27"/>
  <c r="H17" i="27"/>
  <c r="H6" i="27"/>
  <c r="H5" i="27"/>
  <c r="G19" i="27"/>
  <c r="G18" i="27"/>
  <c r="G7" i="27"/>
  <c r="G8" i="27"/>
  <c r="G9" i="27"/>
  <c r="G10" i="27"/>
  <c r="G11" i="27"/>
  <c r="G12" i="27"/>
  <c r="G13" i="27"/>
  <c r="G14" i="27"/>
  <c r="G15" i="27"/>
  <c r="G16" i="27"/>
  <c r="G17" i="27"/>
  <c r="G6" i="27"/>
  <c r="G5" i="27"/>
  <c r="F19" i="27"/>
  <c r="F18" i="27"/>
  <c r="F7" i="27"/>
  <c r="F8" i="27"/>
  <c r="F9" i="27"/>
  <c r="F10" i="27"/>
  <c r="F11" i="27"/>
  <c r="F12" i="27"/>
  <c r="F13" i="27"/>
  <c r="F14" i="27"/>
  <c r="F15" i="27"/>
  <c r="F16" i="27"/>
  <c r="F17" i="27"/>
  <c r="F6" i="27"/>
  <c r="F5" i="27"/>
  <c r="E5" i="27"/>
  <c r="I129" i="28" l="1"/>
  <c r="H129" i="28"/>
  <c r="G129" i="28"/>
  <c r="F129" i="28"/>
  <c r="E129" i="28"/>
  <c r="D129" i="28"/>
  <c r="C129" i="28"/>
  <c r="B129" i="28" l="1"/>
  <c r="J129" i="28"/>
  <c r="I130" i="14"/>
  <c r="I130" i="11" s="1"/>
  <c r="H130" i="14"/>
  <c r="H130" i="11" s="1"/>
  <c r="G130" i="14"/>
  <c r="G130" i="11" s="1"/>
  <c r="F130" i="14"/>
  <c r="F130" i="11" s="1"/>
  <c r="E130" i="14"/>
  <c r="E130" i="11" s="1"/>
  <c r="D130" i="14"/>
  <c r="D130" i="11" s="1"/>
  <c r="C130" i="14"/>
  <c r="C130" i="11" s="1"/>
  <c r="B130" i="14" l="1"/>
  <c r="H133" i="1"/>
  <c r="G133" i="1"/>
  <c r="J130" i="14" l="1"/>
  <c r="B130" i="11"/>
  <c r="F133" i="1"/>
  <c r="E133" i="1" l="1"/>
  <c r="D133" i="1"/>
  <c r="C133" i="1"/>
  <c r="B133" i="1" l="1"/>
  <c r="I128" i="28" l="1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G128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7" i="28" s="1"/>
  <c r="G34" i="28"/>
  <c r="G33" i="28"/>
  <c r="G32" i="28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G7" i="14" l="1"/>
  <c r="I7" i="28"/>
  <c r="D7" i="14"/>
  <c r="D6" i="28"/>
  <c r="I7" i="14"/>
  <c r="G6" i="28"/>
  <c r="I6" i="28"/>
  <c r="D7" i="28"/>
  <c r="H32" i="28"/>
  <c r="F32" i="28"/>
  <c r="E32" i="28"/>
  <c r="C32" i="28"/>
  <c r="H33" i="14"/>
  <c r="F33" i="14"/>
  <c r="E33" i="14"/>
  <c r="C33" i="14"/>
  <c r="H36" i="1"/>
  <c r="G7" i="11" l="1"/>
  <c r="D7" i="11"/>
  <c r="I7" i="11"/>
  <c r="E33" i="11"/>
  <c r="F33" i="11"/>
  <c r="G33" i="11"/>
  <c r="I33" i="11"/>
  <c r="C33" i="11"/>
  <c r="H33" i="11"/>
  <c r="D33" i="11"/>
  <c r="B32" i="28"/>
  <c r="B33" i="14"/>
  <c r="J32" i="28" l="1"/>
  <c r="J33" i="14"/>
  <c r="B33" i="11"/>
  <c r="G36" i="1"/>
  <c r="B36" i="1" l="1"/>
  <c r="H128" i="28"/>
  <c r="F128" i="28"/>
  <c r="E128" i="28"/>
  <c r="C128" i="28"/>
  <c r="B128" i="28" l="1"/>
  <c r="J128" i="28" s="1"/>
  <c r="I129" i="11"/>
  <c r="H129" i="14"/>
  <c r="H129" i="11" s="1"/>
  <c r="G129" i="11"/>
  <c r="F129" i="14"/>
  <c r="F129" i="11" s="1"/>
  <c r="E129" i="14"/>
  <c r="E129" i="11" s="1"/>
  <c r="D129" i="11"/>
  <c r="C129" i="14"/>
  <c r="C129" i="11" s="1"/>
  <c r="B129" i="14" l="1"/>
  <c r="H132" i="1"/>
  <c r="J129" i="14" l="1"/>
  <c r="B129" i="11"/>
  <c r="G132" i="1"/>
  <c r="F132" i="1" l="1"/>
  <c r="E132" i="1" l="1"/>
  <c r="D132" i="1"/>
  <c r="C132" i="1"/>
  <c r="B132" i="1"/>
  <c r="H127" i="28" l="1"/>
  <c r="F127" i="28"/>
  <c r="E127" i="28"/>
  <c r="C127" i="28"/>
  <c r="H128" i="14"/>
  <c r="F128" i="14"/>
  <c r="E128" i="14"/>
  <c r="C128" i="14"/>
  <c r="I128" i="11" l="1"/>
  <c r="E128" i="11"/>
  <c r="H128" i="11"/>
  <c r="C128" i="11"/>
  <c r="G128" i="11"/>
  <c r="D128" i="11"/>
  <c r="B127" i="28"/>
  <c r="J127" i="28" s="1"/>
  <c r="B128" i="14"/>
  <c r="F128" i="11"/>
  <c r="H36" i="28"/>
  <c r="F36" i="28"/>
  <c r="E36" i="28"/>
  <c r="C36" i="28"/>
  <c r="H35" i="28"/>
  <c r="F35" i="28"/>
  <c r="E35" i="28"/>
  <c r="C35" i="28"/>
  <c r="H34" i="28"/>
  <c r="F34" i="28"/>
  <c r="E34" i="28"/>
  <c r="C34" i="28"/>
  <c r="H33" i="28"/>
  <c r="F33" i="28"/>
  <c r="E33" i="28"/>
  <c r="E6" i="28" s="1"/>
  <c r="C33" i="28"/>
  <c r="H37" i="14"/>
  <c r="F37" i="14"/>
  <c r="E37" i="14"/>
  <c r="C37" i="14"/>
  <c r="H36" i="14"/>
  <c r="F36" i="14"/>
  <c r="E36" i="14"/>
  <c r="C36" i="14"/>
  <c r="H35" i="14"/>
  <c r="F35" i="14"/>
  <c r="E35" i="14"/>
  <c r="C35" i="14"/>
  <c r="H34" i="14"/>
  <c r="F34" i="14"/>
  <c r="E34" i="14"/>
  <c r="C34" i="14"/>
  <c r="F6" i="28" l="1"/>
  <c r="H6" i="28"/>
  <c r="C7" i="14"/>
  <c r="E7" i="14"/>
  <c r="E7" i="11" s="1"/>
  <c r="F7" i="14"/>
  <c r="F7" i="11" s="1"/>
  <c r="H7" i="14"/>
  <c r="H7" i="11" s="1"/>
  <c r="C6" i="28"/>
  <c r="E34" i="11"/>
  <c r="H37" i="11"/>
  <c r="F35" i="11"/>
  <c r="C36" i="11"/>
  <c r="G37" i="11"/>
  <c r="F36" i="11"/>
  <c r="D34" i="11"/>
  <c r="F34" i="11"/>
  <c r="H36" i="11"/>
  <c r="I37" i="11"/>
  <c r="E35" i="11"/>
  <c r="G35" i="11"/>
  <c r="B34" i="14"/>
  <c r="D35" i="11"/>
  <c r="E36" i="11"/>
  <c r="F37" i="11"/>
  <c r="B34" i="28"/>
  <c r="J34" i="28" s="1"/>
  <c r="I35" i="11"/>
  <c r="C37" i="11"/>
  <c r="I34" i="11"/>
  <c r="B35" i="28"/>
  <c r="J128" i="14"/>
  <c r="B128" i="11"/>
  <c r="H35" i="11"/>
  <c r="D36" i="11"/>
  <c r="G36" i="11"/>
  <c r="G34" i="11"/>
  <c r="I36" i="11"/>
  <c r="H34" i="11"/>
  <c r="D37" i="11"/>
  <c r="C35" i="11"/>
  <c r="E37" i="11"/>
  <c r="B36" i="14"/>
  <c r="J36" i="14" s="1"/>
  <c r="B33" i="28"/>
  <c r="B36" i="28"/>
  <c r="J36" i="28" s="1"/>
  <c r="C34" i="11"/>
  <c r="B37" i="14"/>
  <c r="B35" i="14"/>
  <c r="C7" i="11" l="1"/>
  <c r="J34" i="14"/>
  <c r="B7" i="14"/>
  <c r="J33" i="28"/>
  <c r="B6" i="28"/>
  <c r="J35" i="28"/>
  <c r="B34" i="11"/>
  <c r="B36" i="11"/>
  <c r="J35" i="14"/>
  <c r="B35" i="11"/>
  <c r="J37" i="14"/>
  <c r="B37" i="11"/>
  <c r="H40" i="1"/>
  <c r="H39" i="1"/>
  <c r="H38" i="1"/>
  <c r="H37" i="1"/>
  <c r="H10" i="1" s="1"/>
  <c r="B7" i="11" l="1"/>
  <c r="J7" i="14"/>
  <c r="G40" i="1"/>
  <c r="G39" i="1"/>
  <c r="G38" i="1"/>
  <c r="G37" i="1"/>
  <c r="G10" i="1" s="1"/>
  <c r="E68" i="1" l="1"/>
  <c r="E67" i="1"/>
  <c r="E66" i="1"/>
  <c r="E65" i="1"/>
  <c r="E64" i="1"/>
  <c r="E63" i="1"/>
  <c r="E62" i="1"/>
  <c r="E61" i="1"/>
  <c r="E17" i="1" l="1"/>
  <c r="D37" i="1"/>
  <c r="D38" i="1"/>
  <c r="D39" i="1"/>
  <c r="D40" i="1"/>
  <c r="B10" i="1"/>
  <c r="B39" i="1"/>
  <c r="B40" i="1"/>
  <c r="H126" i="28" l="1"/>
  <c r="F126" i="28"/>
  <c r="E126" i="28"/>
  <c r="C126" i="28"/>
  <c r="H127" i="14"/>
  <c r="H126" i="14"/>
  <c r="F126" i="14"/>
  <c r="E126" i="14"/>
  <c r="C126" i="14"/>
  <c r="F127" i="14"/>
  <c r="E127" i="14"/>
  <c r="C127" i="14"/>
  <c r="H127" i="11" l="1"/>
  <c r="G127" i="11"/>
  <c r="C127" i="11"/>
  <c r="D127" i="11"/>
  <c r="F127" i="11"/>
  <c r="E127" i="11"/>
  <c r="I127" i="11"/>
  <c r="B126" i="28"/>
  <c r="J126" i="28" s="1"/>
  <c r="H131" i="1" l="1"/>
  <c r="B127" i="14" l="1"/>
  <c r="J127" i="14" l="1"/>
  <c r="B127" i="11"/>
  <c r="G131" i="1"/>
  <c r="F131" i="1" l="1"/>
  <c r="E131" i="1" l="1"/>
  <c r="D131" i="1" l="1"/>
  <c r="C131" i="1"/>
  <c r="B131" i="1"/>
  <c r="D130" i="1" l="1"/>
  <c r="G130" i="1" l="1"/>
  <c r="H130" i="1" l="1"/>
  <c r="F130" i="1" l="1"/>
  <c r="E130" i="1" l="1"/>
  <c r="C130" i="1" l="1"/>
  <c r="C33" i="1" s="1"/>
  <c r="B130" i="1"/>
  <c r="B33" i="1" s="1"/>
  <c r="H125" i="28" l="1"/>
  <c r="F125" i="28"/>
  <c r="E125" i="28"/>
  <c r="C125" i="28"/>
  <c r="D126" i="11" l="1"/>
  <c r="E126" i="11"/>
  <c r="F126" i="11"/>
  <c r="C126" i="11"/>
  <c r="G126" i="11"/>
  <c r="H126" i="11"/>
  <c r="I126" i="11"/>
  <c r="B125" i="28"/>
  <c r="J125" i="28" s="1"/>
  <c r="B126" i="14"/>
  <c r="H129" i="1"/>
  <c r="B126" i="11" l="1"/>
  <c r="J126" i="14"/>
  <c r="G129" i="1"/>
  <c r="F129" i="1" l="1"/>
  <c r="E129" i="1" l="1"/>
  <c r="D129" i="1"/>
  <c r="C129" i="1"/>
  <c r="B129" i="1"/>
  <c r="D19" i="27" l="1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H124" i="28" l="1"/>
  <c r="F124" i="28"/>
  <c r="E124" i="28"/>
  <c r="C124" i="28"/>
  <c r="H123" i="28"/>
  <c r="F123" i="28"/>
  <c r="E123" i="28"/>
  <c r="E29" i="28" s="1"/>
  <c r="C123" i="28"/>
  <c r="H125" i="14"/>
  <c r="F125" i="14"/>
  <c r="E125" i="14"/>
  <c r="C125" i="14"/>
  <c r="H124" i="14"/>
  <c r="F124" i="14"/>
  <c r="E124" i="14"/>
  <c r="C124" i="14"/>
  <c r="F30" i="14" l="1"/>
  <c r="I29" i="28"/>
  <c r="H29" i="28"/>
  <c r="G30" i="14"/>
  <c r="C30" i="14"/>
  <c r="E30" i="14"/>
  <c r="E30" i="11" s="1"/>
  <c r="G29" i="28"/>
  <c r="G30" i="11" s="1"/>
  <c r="C29" i="28"/>
  <c r="C30" i="11" s="1"/>
  <c r="D29" i="28"/>
  <c r="D30" i="14"/>
  <c r="F29" i="28"/>
  <c r="F30" i="11" s="1"/>
  <c r="H30" i="14"/>
  <c r="I30" i="14"/>
  <c r="H124" i="11"/>
  <c r="I124" i="11"/>
  <c r="F124" i="11"/>
  <c r="G124" i="11"/>
  <c r="C125" i="11"/>
  <c r="D125" i="11"/>
  <c r="F125" i="11"/>
  <c r="G125" i="11"/>
  <c r="I125" i="11"/>
  <c r="H125" i="11"/>
  <c r="E124" i="11"/>
  <c r="D124" i="11"/>
  <c r="E125" i="11"/>
  <c r="C124" i="11"/>
  <c r="B124" i="28"/>
  <c r="J124" i="28" s="1"/>
  <c r="B123" i="28"/>
  <c r="B125" i="14"/>
  <c r="I30" i="11" l="1"/>
  <c r="D30" i="11"/>
  <c r="H30" i="11"/>
  <c r="J123" i="28"/>
  <c r="B29" i="28"/>
  <c r="J29" i="28" s="1"/>
  <c r="B125" i="11"/>
  <c r="J125" i="14"/>
  <c r="H128" i="1"/>
  <c r="B124" i="14" l="1"/>
  <c r="B30" i="14" s="1"/>
  <c r="G128" i="1"/>
  <c r="B30" i="11" l="1"/>
  <c r="J30" i="14"/>
  <c r="J124" i="14"/>
  <c r="B124" i="11"/>
  <c r="F128" i="1"/>
  <c r="E128" i="1" l="1"/>
  <c r="D128" i="1" l="1"/>
  <c r="C128" i="1"/>
  <c r="B128" i="1"/>
  <c r="H122" i="28" l="1"/>
  <c r="F122" i="28"/>
  <c r="E122" i="28"/>
  <c r="C122" i="28"/>
  <c r="H123" i="14"/>
  <c r="F123" i="14"/>
  <c r="E123" i="14"/>
  <c r="C123" i="14"/>
  <c r="D123" i="11" l="1"/>
  <c r="E123" i="11"/>
  <c r="H123" i="11"/>
  <c r="F123" i="11"/>
  <c r="G123" i="11"/>
  <c r="I123" i="11"/>
  <c r="C123" i="11"/>
  <c r="B122" i="28"/>
  <c r="J122" i="28" s="1"/>
  <c r="B123" i="14"/>
  <c r="F122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126" i="1"/>
  <c r="G127" i="1"/>
  <c r="G33" i="1" s="1"/>
  <c r="G25" i="1" l="1"/>
  <c r="G11" i="1"/>
  <c r="G29" i="1"/>
  <c r="G21" i="1"/>
  <c r="G17" i="1"/>
  <c r="G14" i="1"/>
  <c r="G22" i="1"/>
  <c r="G13" i="1"/>
  <c r="G18" i="1"/>
  <c r="G30" i="1"/>
  <c r="G15" i="1"/>
  <c r="G23" i="1"/>
  <c r="G31" i="1"/>
  <c r="G26" i="1"/>
  <c r="G19" i="1"/>
  <c r="G27" i="1"/>
  <c r="G12" i="1"/>
  <c r="G16" i="1"/>
  <c r="G20" i="1"/>
  <c r="G24" i="1"/>
  <c r="G28" i="1"/>
  <c r="G32" i="1"/>
  <c r="B123" i="11"/>
  <c r="J123" i="14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124" i="1"/>
  <c r="F123" i="1"/>
  <c r="F121" i="1"/>
  <c r="F120" i="1"/>
  <c r="F119" i="1"/>
  <c r="F118" i="1"/>
  <c r="F117" i="1"/>
  <c r="F116" i="1"/>
  <c r="F115" i="1"/>
  <c r="F114" i="1"/>
  <c r="F113" i="1"/>
  <c r="F125" i="1"/>
  <c r="F126" i="1"/>
  <c r="F127" i="1"/>
  <c r="F33" i="1" s="1"/>
  <c r="F112" i="1"/>
  <c r="F16" i="1" l="1"/>
  <c r="F22" i="1"/>
  <c r="F26" i="1"/>
  <c r="F28" i="1"/>
  <c r="F20" i="1"/>
  <c r="F31" i="1"/>
  <c r="F18" i="1"/>
  <c r="F24" i="1"/>
  <c r="F32" i="1"/>
  <c r="F17" i="1"/>
  <c r="F19" i="1"/>
  <c r="F21" i="1"/>
  <c r="F23" i="1"/>
  <c r="F25" i="1"/>
  <c r="F27" i="1"/>
  <c r="F29" i="1"/>
  <c r="F30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6" i="1"/>
  <c r="E127" i="1"/>
  <c r="E33" i="1" s="1"/>
  <c r="E18" i="1" l="1"/>
  <c r="E27" i="1"/>
  <c r="E23" i="1"/>
  <c r="E19" i="1"/>
  <c r="E20" i="1"/>
  <c r="E28" i="1"/>
  <c r="E24" i="1"/>
  <c r="E31" i="1"/>
  <c r="E32" i="1"/>
  <c r="E25" i="1"/>
  <c r="E21" i="1"/>
  <c r="E29" i="1"/>
  <c r="E22" i="1"/>
  <c r="E26" i="1"/>
  <c r="E30" i="1"/>
  <c r="H127" i="1"/>
  <c r="H33" i="1" s="1"/>
  <c r="D127" i="1" l="1"/>
  <c r="D33" i="1" s="1"/>
  <c r="C127" i="1" l="1"/>
  <c r="B127" i="1"/>
  <c r="H126" i="1" l="1"/>
  <c r="D126" i="1"/>
  <c r="C126" i="1"/>
  <c r="C32" i="1" s="1"/>
  <c r="B126" i="1" l="1"/>
  <c r="B32" i="1" s="1"/>
  <c r="H121" i="28" l="1"/>
  <c r="F121" i="28"/>
  <c r="E121" i="28"/>
  <c r="C121" i="28"/>
  <c r="H122" i="14"/>
  <c r="F122" i="14"/>
  <c r="E122" i="14"/>
  <c r="C122" i="14"/>
  <c r="C122" i="11" l="1"/>
  <c r="F122" i="11"/>
  <c r="I122" i="11"/>
  <c r="G122" i="11"/>
  <c r="E122" i="11"/>
  <c r="D122" i="11"/>
  <c r="B121" i="28"/>
  <c r="J121" i="28" s="1"/>
  <c r="H122" i="11"/>
  <c r="B122" i="14"/>
  <c r="J122" i="14" l="1"/>
  <c r="B122" i="11"/>
  <c r="H125" i="1"/>
  <c r="D125" i="1" l="1"/>
  <c r="C125" i="1"/>
  <c r="B125" i="1"/>
  <c r="C111" i="14" l="1"/>
  <c r="C110" i="14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11" i="1" l="1"/>
  <c r="H13" i="1"/>
  <c r="H12" i="1"/>
  <c r="H15" i="1"/>
  <c r="H17" i="1"/>
  <c r="H19" i="1"/>
  <c r="H21" i="1"/>
  <c r="H14" i="1"/>
  <c r="H16" i="1"/>
  <c r="H18" i="1"/>
  <c r="H20" i="1"/>
  <c r="D84" i="1"/>
  <c r="D83" i="1"/>
  <c r="D82" i="1"/>
  <c r="D81" i="1"/>
  <c r="D80" i="1"/>
  <c r="D79" i="1"/>
  <c r="D78" i="1"/>
  <c r="D77" i="1"/>
  <c r="D76" i="1"/>
  <c r="D75" i="1"/>
  <c r="D74" i="1"/>
  <c r="D73" i="1"/>
  <c r="D21" i="1" l="1"/>
  <c r="D20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11" i="1" l="1"/>
  <c r="D19" i="1"/>
  <c r="D12" i="1"/>
  <c r="D14" i="1"/>
  <c r="D16" i="1"/>
  <c r="D18" i="1"/>
  <c r="D13" i="1"/>
  <c r="D15" i="1"/>
  <c r="D17" i="1"/>
  <c r="C92" i="1"/>
  <c r="C91" i="1"/>
  <c r="C90" i="1"/>
  <c r="C23" i="1" s="1"/>
  <c r="C89" i="1"/>
  <c r="C88" i="1"/>
  <c r="C87" i="1"/>
  <c r="C86" i="1"/>
  <c r="C22" i="1" s="1"/>
  <c r="C85" i="1"/>
  <c r="C84" i="1" l="1"/>
  <c r="C83" i="1"/>
  <c r="C82" i="1"/>
  <c r="C21" i="1" s="1"/>
  <c r="C81" i="1"/>
  <c r="C80" i="1"/>
  <c r="C79" i="1"/>
  <c r="C78" i="1"/>
  <c r="C20" i="1" s="1"/>
  <c r="C77" i="1"/>
  <c r="C76" i="1"/>
  <c r="C75" i="1"/>
  <c r="C74" i="1"/>
  <c r="C19" i="1" s="1"/>
  <c r="C73" i="1"/>
  <c r="C72" i="1"/>
  <c r="C71" i="1"/>
  <c r="C70" i="1"/>
  <c r="C18" i="1" s="1"/>
  <c r="C69" i="1" l="1"/>
  <c r="C68" i="1"/>
  <c r="C67" i="1"/>
  <c r="C66" i="1"/>
  <c r="C17" i="1" s="1"/>
  <c r="C65" i="1"/>
  <c r="C64" i="1"/>
  <c r="C63" i="1"/>
  <c r="C62" i="1"/>
  <c r="C16" i="1" s="1"/>
  <c r="C61" i="1"/>
  <c r="C60" i="1"/>
  <c r="C59" i="1"/>
  <c r="C58" i="1"/>
  <c r="C15" i="1" s="1"/>
  <c r="C57" i="1"/>
  <c r="C56" i="1"/>
  <c r="C55" i="1"/>
  <c r="C54" i="1"/>
  <c r="C14" i="1" s="1"/>
  <c r="C53" i="1"/>
  <c r="B41" i="1"/>
  <c r="B42" i="1"/>
  <c r="B11" i="1" s="1"/>
  <c r="B43" i="1"/>
  <c r="B44" i="1"/>
  <c r="B45" i="1"/>
  <c r="B46" i="1"/>
  <c r="B12" i="1" s="1"/>
  <c r="B47" i="1"/>
  <c r="B48" i="1"/>
  <c r="B49" i="1"/>
  <c r="C49" i="1"/>
  <c r="B50" i="1"/>
  <c r="B13" i="1" s="1"/>
  <c r="C50" i="1"/>
  <c r="C13" i="1" s="1"/>
  <c r="B51" i="1"/>
  <c r="C51" i="1"/>
  <c r="B52" i="1"/>
  <c r="C52" i="1"/>
  <c r="B53" i="1"/>
  <c r="B54" i="1"/>
  <c r="B14" i="1" s="1"/>
  <c r="B55" i="1"/>
  <c r="B56" i="1"/>
  <c r="B57" i="1"/>
  <c r="B58" i="1"/>
  <c r="B15" i="1" s="1"/>
  <c r="B59" i="1"/>
  <c r="B60" i="1"/>
  <c r="B61" i="1"/>
  <c r="B62" i="1"/>
  <c r="B16" i="1" s="1"/>
  <c r="B63" i="1"/>
  <c r="B64" i="1"/>
  <c r="B65" i="1"/>
  <c r="B66" i="1"/>
  <c r="B17" i="1" s="1"/>
  <c r="B67" i="1"/>
  <c r="B68" i="1"/>
  <c r="B69" i="1"/>
  <c r="B70" i="1"/>
  <c r="B18" i="1" s="1"/>
  <c r="B71" i="1"/>
  <c r="B72" i="1"/>
  <c r="B88" i="1" l="1"/>
  <c r="B87" i="1"/>
  <c r="B86" i="1"/>
  <c r="B22" i="1" s="1"/>
  <c r="B85" i="1"/>
  <c r="B84" i="1"/>
  <c r="B83" i="1"/>
  <c r="B82" i="1"/>
  <c r="B21" i="1" s="1"/>
  <c r="B81" i="1"/>
  <c r="B80" i="1"/>
  <c r="B79" i="1"/>
  <c r="B78" i="1"/>
  <c r="B20" i="1" s="1"/>
  <c r="B77" i="1"/>
  <c r="B76" i="1"/>
  <c r="B75" i="1"/>
  <c r="B74" i="1"/>
  <c r="B19" i="1" s="1"/>
  <c r="B73" i="1"/>
  <c r="H119" i="28" l="1"/>
  <c r="F119" i="28"/>
  <c r="E119" i="28"/>
  <c r="C119" i="28"/>
  <c r="H116" i="28"/>
  <c r="F116" i="28"/>
  <c r="E116" i="28"/>
  <c r="C116" i="28"/>
  <c r="H115" i="28"/>
  <c r="F115" i="28"/>
  <c r="E115" i="28"/>
  <c r="C115" i="28"/>
  <c r="H114" i="28"/>
  <c r="F114" i="28"/>
  <c r="E114" i="28"/>
  <c r="C114" i="28"/>
  <c r="H113" i="28"/>
  <c r="F113" i="28"/>
  <c r="E113" i="28"/>
  <c r="C113" i="28"/>
  <c r="H112" i="28"/>
  <c r="F112" i="28"/>
  <c r="E112" i="28"/>
  <c r="C112" i="28"/>
  <c r="H111" i="28"/>
  <c r="F111" i="28"/>
  <c r="E111" i="28"/>
  <c r="C111" i="28"/>
  <c r="H110" i="28"/>
  <c r="F110" i="28"/>
  <c r="E110" i="28"/>
  <c r="C110" i="28"/>
  <c r="H109" i="28"/>
  <c r="F109" i="28"/>
  <c r="E109" i="28"/>
  <c r="C109" i="28"/>
  <c r="H108" i="28"/>
  <c r="F108" i="28"/>
  <c r="E108" i="28"/>
  <c r="C108" i="28"/>
  <c r="H107" i="28"/>
  <c r="F107" i="28"/>
  <c r="E107" i="28"/>
  <c r="C107" i="28"/>
  <c r="H106" i="28"/>
  <c r="F106" i="28"/>
  <c r="E106" i="28"/>
  <c r="C106" i="28"/>
  <c r="H105" i="28"/>
  <c r="F105" i="28"/>
  <c r="E105" i="28"/>
  <c r="C105" i="28"/>
  <c r="H104" i="28"/>
  <c r="F104" i="28"/>
  <c r="E104" i="28"/>
  <c r="C104" i="28"/>
  <c r="H103" i="28"/>
  <c r="F103" i="28"/>
  <c r="E103" i="28"/>
  <c r="C103" i="28"/>
  <c r="H102" i="28"/>
  <c r="F102" i="28"/>
  <c r="E102" i="28"/>
  <c r="C102" i="28"/>
  <c r="H101" i="28"/>
  <c r="F101" i="28"/>
  <c r="E101" i="28"/>
  <c r="C101" i="28"/>
  <c r="H100" i="28"/>
  <c r="F100" i="28"/>
  <c r="E100" i="28"/>
  <c r="C100" i="28"/>
  <c r="H99" i="28"/>
  <c r="F99" i="28"/>
  <c r="E99" i="28"/>
  <c r="C99" i="28"/>
  <c r="H98" i="28"/>
  <c r="F98" i="28"/>
  <c r="E98" i="28"/>
  <c r="C98" i="28"/>
  <c r="H97" i="28"/>
  <c r="F97" i="28"/>
  <c r="E97" i="28"/>
  <c r="C97" i="28"/>
  <c r="H96" i="28"/>
  <c r="F96" i="28"/>
  <c r="E96" i="28"/>
  <c r="C96" i="28"/>
  <c r="H95" i="28"/>
  <c r="F95" i="28"/>
  <c r="E95" i="28"/>
  <c r="C95" i="28"/>
  <c r="H94" i="28"/>
  <c r="F94" i="28"/>
  <c r="E94" i="28"/>
  <c r="C94" i="28"/>
  <c r="H93" i="28"/>
  <c r="F93" i="28"/>
  <c r="E93" i="28"/>
  <c r="C93" i="28"/>
  <c r="H92" i="28"/>
  <c r="F92" i="28"/>
  <c r="E92" i="28"/>
  <c r="C92" i="28"/>
  <c r="H91" i="28"/>
  <c r="F91" i="28"/>
  <c r="E91" i="28"/>
  <c r="C91" i="28"/>
  <c r="H90" i="28"/>
  <c r="F90" i="28"/>
  <c r="E90" i="28"/>
  <c r="C90" i="28"/>
  <c r="H89" i="28"/>
  <c r="F89" i="28"/>
  <c r="E89" i="28"/>
  <c r="C89" i="28"/>
  <c r="H88" i="28"/>
  <c r="F88" i="28"/>
  <c r="E88" i="28"/>
  <c r="C88" i="28"/>
  <c r="H87" i="28"/>
  <c r="F87" i="28"/>
  <c r="E87" i="28"/>
  <c r="C87" i="28"/>
  <c r="H86" i="28"/>
  <c r="F86" i="28"/>
  <c r="E86" i="28"/>
  <c r="C86" i="28"/>
  <c r="H85" i="28"/>
  <c r="F85" i="28"/>
  <c r="E85" i="28"/>
  <c r="C85" i="28"/>
  <c r="H84" i="28"/>
  <c r="F84" i="28"/>
  <c r="E84" i="28"/>
  <c r="C84" i="28"/>
  <c r="H83" i="28"/>
  <c r="F83" i="28"/>
  <c r="E83" i="28"/>
  <c r="C83" i="28"/>
  <c r="H82" i="28"/>
  <c r="F82" i="28"/>
  <c r="E82" i="28"/>
  <c r="C82" i="28"/>
  <c r="H81" i="28"/>
  <c r="F81" i="28"/>
  <c r="E81" i="28"/>
  <c r="C81" i="28"/>
  <c r="H80" i="28"/>
  <c r="F80" i="28"/>
  <c r="E80" i="28"/>
  <c r="C80" i="28"/>
  <c r="H79" i="28"/>
  <c r="F79" i="28"/>
  <c r="E79" i="28"/>
  <c r="C79" i="28"/>
  <c r="H78" i="28"/>
  <c r="F78" i="28"/>
  <c r="E78" i="28"/>
  <c r="C78" i="28"/>
  <c r="H77" i="28"/>
  <c r="F77" i="28"/>
  <c r="E77" i="28"/>
  <c r="C77" i="28"/>
  <c r="H76" i="28"/>
  <c r="F76" i="28"/>
  <c r="E76" i="28"/>
  <c r="C76" i="28"/>
  <c r="H75" i="28"/>
  <c r="F75" i="28"/>
  <c r="E75" i="28"/>
  <c r="C75" i="28"/>
  <c r="H74" i="28"/>
  <c r="F74" i="28"/>
  <c r="E74" i="28"/>
  <c r="C74" i="28"/>
  <c r="H73" i="28"/>
  <c r="F73" i="28"/>
  <c r="E73" i="28"/>
  <c r="C73" i="28"/>
  <c r="H72" i="28"/>
  <c r="F72" i="28"/>
  <c r="E72" i="28"/>
  <c r="C72" i="28"/>
  <c r="H71" i="28"/>
  <c r="F71" i="28"/>
  <c r="E71" i="28"/>
  <c r="C71" i="28"/>
  <c r="H70" i="28"/>
  <c r="F70" i="28"/>
  <c r="E70" i="28"/>
  <c r="C70" i="28"/>
  <c r="H69" i="28"/>
  <c r="F69" i="28"/>
  <c r="E69" i="28"/>
  <c r="C69" i="28"/>
  <c r="H68" i="28"/>
  <c r="F68" i="28"/>
  <c r="E68" i="28"/>
  <c r="C68" i="28"/>
  <c r="H67" i="28"/>
  <c r="F67" i="28"/>
  <c r="E67" i="28"/>
  <c r="C67" i="28"/>
  <c r="H66" i="28"/>
  <c r="F66" i="28"/>
  <c r="E66" i="28"/>
  <c r="C66" i="28"/>
  <c r="H65" i="28"/>
  <c r="F65" i="28"/>
  <c r="E65" i="28"/>
  <c r="C65" i="28"/>
  <c r="H64" i="28"/>
  <c r="F64" i="28"/>
  <c r="E64" i="28"/>
  <c r="C64" i="28"/>
  <c r="H63" i="28"/>
  <c r="F63" i="28"/>
  <c r="E63" i="28"/>
  <c r="C63" i="28"/>
  <c r="H62" i="28"/>
  <c r="F62" i="28"/>
  <c r="E62" i="28"/>
  <c r="C62" i="28"/>
  <c r="H61" i="28"/>
  <c r="F61" i="28"/>
  <c r="E61" i="28"/>
  <c r="C61" i="28"/>
  <c r="H60" i="28"/>
  <c r="F60" i="28"/>
  <c r="E60" i="28"/>
  <c r="C60" i="28"/>
  <c r="H59" i="28"/>
  <c r="F59" i="28"/>
  <c r="E59" i="28"/>
  <c r="C59" i="28"/>
  <c r="H58" i="28"/>
  <c r="F58" i="28"/>
  <c r="E58" i="28"/>
  <c r="C58" i="28"/>
  <c r="H57" i="28"/>
  <c r="F57" i="28"/>
  <c r="E57" i="28"/>
  <c r="C57" i="28"/>
  <c r="H56" i="28"/>
  <c r="F56" i="28"/>
  <c r="E56" i="28"/>
  <c r="C56" i="28"/>
  <c r="H55" i="28"/>
  <c r="F55" i="28"/>
  <c r="E55" i="28"/>
  <c r="C55" i="28"/>
  <c r="H54" i="28"/>
  <c r="F54" i="28"/>
  <c r="E54" i="28"/>
  <c r="C54" i="28"/>
  <c r="H53" i="28"/>
  <c r="F53" i="28"/>
  <c r="E53" i="28"/>
  <c r="C53" i="28"/>
  <c r="H52" i="28"/>
  <c r="F52" i="28"/>
  <c r="E52" i="28"/>
  <c r="C52" i="28"/>
  <c r="H51" i="28"/>
  <c r="F51" i="28"/>
  <c r="E51" i="28"/>
  <c r="C51" i="28"/>
  <c r="H50" i="28"/>
  <c r="F50" i="28"/>
  <c r="E50" i="28"/>
  <c r="C50" i="28"/>
  <c r="H49" i="28"/>
  <c r="F49" i="28"/>
  <c r="E49" i="28"/>
  <c r="C49" i="28"/>
  <c r="H48" i="28"/>
  <c r="F48" i="28"/>
  <c r="E48" i="28"/>
  <c r="C48" i="28"/>
  <c r="H47" i="28"/>
  <c r="F47" i="28"/>
  <c r="E47" i="28"/>
  <c r="C47" i="28"/>
  <c r="H46" i="28"/>
  <c r="F46" i="28"/>
  <c r="E46" i="28"/>
  <c r="C46" i="28"/>
  <c r="H45" i="28"/>
  <c r="F45" i="28"/>
  <c r="E45" i="28"/>
  <c r="C45" i="28"/>
  <c r="H44" i="28"/>
  <c r="F44" i="28"/>
  <c r="E44" i="28"/>
  <c r="C44" i="28"/>
  <c r="H43" i="28"/>
  <c r="F43" i="28"/>
  <c r="E43" i="28"/>
  <c r="C43" i="28"/>
  <c r="H42" i="28"/>
  <c r="F42" i="28"/>
  <c r="E42" i="28"/>
  <c r="C42" i="28"/>
  <c r="H41" i="28"/>
  <c r="F41" i="28"/>
  <c r="E41" i="28"/>
  <c r="C41" i="28"/>
  <c r="H40" i="28"/>
  <c r="F40" i="28"/>
  <c r="E40" i="28"/>
  <c r="C40" i="28"/>
  <c r="H39" i="28"/>
  <c r="F39" i="28"/>
  <c r="E39" i="28"/>
  <c r="C39" i="28"/>
  <c r="H38" i="28"/>
  <c r="F38" i="28"/>
  <c r="E38" i="28"/>
  <c r="C38" i="28"/>
  <c r="H37" i="28"/>
  <c r="F37" i="28"/>
  <c r="E37" i="28"/>
  <c r="C37" i="28"/>
  <c r="H117" i="28"/>
  <c r="F117" i="28"/>
  <c r="E117" i="28"/>
  <c r="C117" i="28"/>
  <c r="H118" i="28"/>
  <c r="F118" i="28"/>
  <c r="E118" i="28"/>
  <c r="C118" i="28"/>
  <c r="H120" i="28"/>
  <c r="F120" i="28"/>
  <c r="E120" i="28"/>
  <c r="C120" i="28"/>
  <c r="C112" i="14"/>
  <c r="F7" i="28" l="1"/>
  <c r="C7" i="28"/>
  <c r="E7" i="28"/>
  <c r="H7" i="28"/>
  <c r="C28" i="28"/>
  <c r="D28" i="28"/>
  <c r="E28" i="28"/>
  <c r="F28" i="28"/>
  <c r="G28" i="28"/>
  <c r="H28" i="28"/>
  <c r="I28" i="28"/>
  <c r="C112" i="11"/>
  <c r="G27" i="28"/>
  <c r="G10" i="28"/>
  <c r="F16" i="28"/>
  <c r="F20" i="28"/>
  <c r="H27" i="28"/>
  <c r="D10" i="28"/>
  <c r="B56" i="28"/>
  <c r="J56" i="28" s="1"/>
  <c r="F14" i="28"/>
  <c r="G16" i="28"/>
  <c r="F18" i="28"/>
  <c r="B88" i="28"/>
  <c r="J88" i="28" s="1"/>
  <c r="F22" i="28"/>
  <c r="G8" i="28"/>
  <c r="H11" i="28"/>
  <c r="B63" i="28"/>
  <c r="J63" i="28" s="1"/>
  <c r="B72" i="28"/>
  <c r="J72" i="28" s="1"/>
  <c r="C19" i="28"/>
  <c r="D22" i="28"/>
  <c r="E24" i="28"/>
  <c r="I9" i="28"/>
  <c r="G12" i="28"/>
  <c r="H15" i="28"/>
  <c r="I17" i="28"/>
  <c r="H19" i="28"/>
  <c r="I21" i="28"/>
  <c r="B40" i="28"/>
  <c r="J40" i="28" s="1"/>
  <c r="B49" i="28"/>
  <c r="J49" i="28" s="1"/>
  <c r="C11" i="28"/>
  <c r="I13" i="28"/>
  <c r="D18" i="28"/>
  <c r="G20" i="28"/>
  <c r="H23" i="28"/>
  <c r="I25" i="28"/>
  <c r="C27" i="28"/>
  <c r="I8" i="28"/>
  <c r="D9" i="28"/>
  <c r="B45" i="28"/>
  <c r="J45" i="28" s="1"/>
  <c r="H10" i="28"/>
  <c r="E11" i="28"/>
  <c r="G11" i="28"/>
  <c r="I12" i="28"/>
  <c r="B61" i="28"/>
  <c r="J61" i="28" s="1"/>
  <c r="H14" i="28"/>
  <c r="E15" i="28"/>
  <c r="G15" i="28"/>
  <c r="I16" i="28"/>
  <c r="F17" i="28"/>
  <c r="H18" i="28"/>
  <c r="E19" i="28"/>
  <c r="G19" i="28"/>
  <c r="I20" i="28"/>
  <c r="F21" i="28"/>
  <c r="H22" i="28"/>
  <c r="B100" i="28"/>
  <c r="J100" i="28" s="1"/>
  <c r="I24" i="28"/>
  <c r="H26" i="28"/>
  <c r="B114" i="28"/>
  <c r="J114" i="28" s="1"/>
  <c r="B41" i="28"/>
  <c r="J41" i="28" s="1"/>
  <c r="H9" i="28"/>
  <c r="E10" i="28"/>
  <c r="I11" i="28"/>
  <c r="D12" i="28"/>
  <c r="B57" i="28"/>
  <c r="J57" i="28" s="1"/>
  <c r="H13" i="28"/>
  <c r="B64" i="28"/>
  <c r="J64" i="28" s="1"/>
  <c r="I15" i="28"/>
  <c r="D16" i="28"/>
  <c r="H17" i="28"/>
  <c r="E18" i="28"/>
  <c r="I19" i="28"/>
  <c r="H21" i="28"/>
  <c r="B96" i="28"/>
  <c r="J96" i="28" s="1"/>
  <c r="G22" i="28"/>
  <c r="I23" i="28"/>
  <c r="H25" i="28"/>
  <c r="B37" i="28"/>
  <c r="E9" i="28"/>
  <c r="G9" i="28"/>
  <c r="I10" i="28"/>
  <c r="B51" i="28"/>
  <c r="J51" i="28" s="1"/>
  <c r="B53" i="28"/>
  <c r="J53" i="28" s="1"/>
  <c r="H12" i="28"/>
  <c r="B60" i="28"/>
  <c r="J60" i="28" s="1"/>
  <c r="I14" i="28"/>
  <c r="B67" i="28"/>
  <c r="J67" i="28" s="1"/>
  <c r="B69" i="28"/>
  <c r="J69" i="28" s="1"/>
  <c r="H16" i="28"/>
  <c r="E17" i="28"/>
  <c r="G17" i="28"/>
  <c r="I18" i="28"/>
  <c r="B83" i="28"/>
  <c r="J83" i="28" s="1"/>
  <c r="B85" i="28"/>
  <c r="J85" i="28" s="1"/>
  <c r="H20" i="28"/>
  <c r="B92" i="28"/>
  <c r="J92" i="28" s="1"/>
  <c r="G21" i="28"/>
  <c r="I22" i="28"/>
  <c r="B99" i="28"/>
  <c r="J99" i="28" s="1"/>
  <c r="H24" i="28"/>
  <c r="B108" i="28"/>
  <c r="J108" i="28" s="1"/>
  <c r="H8" i="28"/>
  <c r="D8" i="28"/>
  <c r="B59" i="28"/>
  <c r="J59" i="28" s="1"/>
  <c r="B111" i="28"/>
  <c r="J111" i="28" s="1"/>
  <c r="F23" i="28"/>
  <c r="C23" i="28"/>
  <c r="G23" i="28"/>
  <c r="F24" i="28"/>
  <c r="C24" i="28"/>
  <c r="G24" i="28"/>
  <c r="F25" i="28"/>
  <c r="E26" i="28"/>
  <c r="I26" i="28"/>
  <c r="F26" i="28"/>
  <c r="F12" i="28"/>
  <c r="B50" i="28"/>
  <c r="J50" i="28" s="1"/>
  <c r="B116" i="28"/>
  <c r="J116" i="28" s="1"/>
  <c r="D23" i="28"/>
  <c r="B104" i="28"/>
  <c r="J104" i="28" s="1"/>
  <c r="F27" i="28"/>
  <c r="B94" i="28"/>
  <c r="J94" i="28" s="1"/>
  <c r="C111" i="11"/>
  <c r="G25" i="28"/>
  <c r="G26" i="28"/>
  <c r="B119" i="28"/>
  <c r="B66" i="28"/>
  <c r="J66" i="28" s="1"/>
  <c r="B74" i="28"/>
  <c r="J74" i="28" s="1"/>
  <c r="B98" i="28"/>
  <c r="J98" i="28" s="1"/>
  <c r="C14" i="28"/>
  <c r="E23" i="28"/>
  <c r="B82" i="28"/>
  <c r="J82" i="28" s="1"/>
  <c r="B90" i="28"/>
  <c r="J90" i="28" s="1"/>
  <c r="B110" i="28"/>
  <c r="J110" i="28" s="1"/>
  <c r="D15" i="28"/>
  <c r="E21" i="28"/>
  <c r="B44" i="28"/>
  <c r="J44" i="28" s="1"/>
  <c r="E16" i="28"/>
  <c r="B106" i="28"/>
  <c r="J106" i="28" s="1"/>
  <c r="F8" i="28"/>
  <c r="C10" i="28"/>
  <c r="F11" i="28"/>
  <c r="G13" i="28"/>
  <c r="B62" i="28"/>
  <c r="J62" i="28" s="1"/>
  <c r="G14" i="28"/>
  <c r="B65" i="28"/>
  <c r="J65" i="28" s="1"/>
  <c r="C16" i="28"/>
  <c r="B76" i="28"/>
  <c r="J76" i="28" s="1"/>
  <c r="B79" i="28"/>
  <c r="J79" i="28" s="1"/>
  <c r="G18" i="28"/>
  <c r="B58" i="28"/>
  <c r="J58" i="28" s="1"/>
  <c r="B70" i="28"/>
  <c r="J70" i="28" s="1"/>
  <c r="B78" i="28"/>
  <c r="J78" i="28" s="1"/>
  <c r="E22" i="28"/>
  <c r="F19" i="28"/>
  <c r="B101" i="28"/>
  <c r="J101" i="28" s="1"/>
  <c r="D27" i="28"/>
  <c r="I27" i="28"/>
  <c r="E13" i="28"/>
  <c r="D11" i="28"/>
  <c r="B42" i="28"/>
  <c r="J42" i="28" s="1"/>
  <c r="B46" i="28"/>
  <c r="J46" i="28" s="1"/>
  <c r="B47" i="28"/>
  <c r="J47" i="28" s="1"/>
  <c r="B38" i="28"/>
  <c r="J38" i="28" s="1"/>
  <c r="B54" i="28"/>
  <c r="J54" i="28" s="1"/>
  <c r="F9" i="28"/>
  <c r="F13" i="28"/>
  <c r="D14" i="28"/>
  <c r="F15" i="28"/>
  <c r="C20" i="28"/>
  <c r="D26" i="28"/>
  <c r="B48" i="28"/>
  <c r="J48" i="28" s="1"/>
  <c r="D19" i="28"/>
  <c r="B86" i="28"/>
  <c r="J86" i="28" s="1"/>
  <c r="E20" i="28"/>
  <c r="B95" i="28"/>
  <c r="J95" i="28" s="1"/>
  <c r="C8" i="28"/>
  <c r="C12" i="28"/>
  <c r="E14" i="28"/>
  <c r="E25" i="28"/>
  <c r="B80" i="28"/>
  <c r="J80" i="28" s="1"/>
  <c r="B102" i="28"/>
  <c r="J102" i="28" s="1"/>
  <c r="E8" i="28"/>
  <c r="F10" i="28"/>
  <c r="E12" i="28"/>
  <c r="D13" i="28"/>
  <c r="C15" i="28"/>
  <c r="B117" i="28"/>
  <c r="J117" i="28" s="1"/>
  <c r="E27" i="28"/>
  <c r="B120" i="28"/>
  <c r="J120" i="28" s="1"/>
  <c r="B43" i="28"/>
  <c r="C9" i="28"/>
  <c r="B73" i="28"/>
  <c r="J73" i="28" s="1"/>
  <c r="B77" i="28"/>
  <c r="J77" i="28" s="1"/>
  <c r="D17" i="28"/>
  <c r="B89" i="28"/>
  <c r="J89" i="28" s="1"/>
  <c r="B93" i="28"/>
  <c r="J93" i="28" s="1"/>
  <c r="D21" i="28"/>
  <c r="B105" i="28"/>
  <c r="J105" i="28" s="1"/>
  <c r="B109" i="28"/>
  <c r="J109" i="28" s="1"/>
  <c r="D25" i="28"/>
  <c r="C13" i="28"/>
  <c r="B39" i="28"/>
  <c r="B52" i="28"/>
  <c r="B55" i="28"/>
  <c r="B68" i="28"/>
  <c r="B71" i="28"/>
  <c r="B84" i="28"/>
  <c r="J84" i="28" s="1"/>
  <c r="B75" i="28"/>
  <c r="C17" i="28"/>
  <c r="B81" i="28"/>
  <c r="J81" i="28" s="1"/>
  <c r="C18" i="28"/>
  <c r="B87" i="28"/>
  <c r="D20" i="28"/>
  <c r="B91" i="28"/>
  <c r="C21" i="28"/>
  <c r="B97" i="28"/>
  <c r="J97" i="28" s="1"/>
  <c r="C22" i="28"/>
  <c r="B103" i="28"/>
  <c r="D24" i="28"/>
  <c r="B107" i="28"/>
  <c r="C25" i="28"/>
  <c r="B112" i="28"/>
  <c r="J112" i="28" s="1"/>
  <c r="B113" i="28"/>
  <c r="J113" i="28" s="1"/>
  <c r="C26" i="28"/>
  <c r="B115" i="28"/>
  <c r="B118" i="28"/>
  <c r="J118" i="28" s="1"/>
  <c r="B7" i="28" l="1"/>
  <c r="J37" i="28"/>
  <c r="J7" i="28"/>
  <c r="J119" i="28"/>
  <c r="B28" i="28"/>
  <c r="J28" i="28" s="1"/>
  <c r="B13" i="28"/>
  <c r="J13" i="28" s="1"/>
  <c r="B14" i="28"/>
  <c r="J14" i="28" s="1"/>
  <c r="B10" i="28"/>
  <c r="J10" i="28" s="1"/>
  <c r="B23" i="28"/>
  <c r="B19" i="28"/>
  <c r="B24" i="28"/>
  <c r="J103" i="28"/>
  <c r="B20" i="28"/>
  <c r="J87" i="28"/>
  <c r="B26" i="28"/>
  <c r="B27" i="28"/>
  <c r="J115" i="28"/>
  <c r="B18" i="28"/>
  <c r="J52" i="28"/>
  <c r="B11" i="28"/>
  <c r="J11" i="28" s="1"/>
  <c r="J107" i="28"/>
  <c r="B25" i="28"/>
  <c r="J91" i="28"/>
  <c r="B21" i="28"/>
  <c r="J75" i="28"/>
  <c r="B17" i="28"/>
  <c r="B22" i="28"/>
  <c r="J71" i="28"/>
  <c r="B16" i="28"/>
  <c r="J39" i="28"/>
  <c r="B8" i="28"/>
  <c r="J8" i="28" s="1"/>
  <c r="J55" i="28"/>
  <c r="B12" i="28"/>
  <c r="J12" i="28" s="1"/>
  <c r="J68" i="28"/>
  <c r="B15" i="28"/>
  <c r="J15" i="28" s="1"/>
  <c r="J43" i="28"/>
  <c r="B9" i="28"/>
  <c r="J9" i="28" s="1"/>
  <c r="J17" i="28" l="1"/>
  <c r="J25" i="28"/>
  <c r="J23" i="28"/>
  <c r="J16" i="28"/>
  <c r="J18" i="28"/>
  <c r="J26" i="28"/>
  <c r="J24" i="28"/>
  <c r="J21" i="28"/>
  <c r="J22" i="28"/>
  <c r="J27" i="28"/>
  <c r="J20" i="28"/>
  <c r="J19" i="28"/>
  <c r="C110" i="11"/>
  <c r="F85" i="14" l="1"/>
  <c r="F85" i="11" s="1"/>
  <c r="F84" i="14"/>
  <c r="F84" i="11" s="1"/>
  <c r="F83" i="14"/>
  <c r="F83" i="11" s="1"/>
  <c r="F82" i="14"/>
  <c r="F82" i="11" s="1"/>
  <c r="F81" i="14"/>
  <c r="F81" i="11" s="1"/>
  <c r="F80" i="14"/>
  <c r="F80" i="11" s="1"/>
  <c r="F79" i="14"/>
  <c r="F79" i="11" s="1"/>
  <c r="F78" i="14"/>
  <c r="F78" i="11" s="1"/>
  <c r="F77" i="14"/>
  <c r="F77" i="11" s="1"/>
  <c r="F76" i="14"/>
  <c r="F76" i="11" s="1"/>
  <c r="F75" i="14"/>
  <c r="F75" i="11" s="1"/>
  <c r="F74" i="14"/>
  <c r="F74" i="11" s="1"/>
  <c r="F73" i="14"/>
  <c r="F73" i="11" s="1"/>
  <c r="F72" i="14"/>
  <c r="F72" i="11" s="1"/>
  <c r="F71" i="14"/>
  <c r="F71" i="11" s="1"/>
  <c r="F70" i="14"/>
  <c r="F70" i="11" s="1"/>
  <c r="F69" i="14"/>
  <c r="F69" i="11" s="1"/>
  <c r="F68" i="14"/>
  <c r="F68" i="11" s="1"/>
  <c r="F67" i="14"/>
  <c r="F67" i="11" s="1"/>
  <c r="F66" i="14"/>
  <c r="F66" i="11" s="1"/>
  <c r="I65" i="11"/>
  <c r="H65" i="14"/>
  <c r="H65" i="11" s="1"/>
  <c r="G65" i="11"/>
  <c r="F65" i="14"/>
  <c r="F65" i="11" s="1"/>
  <c r="E65" i="14"/>
  <c r="E65" i="11" s="1"/>
  <c r="D65" i="11"/>
  <c r="C65" i="14"/>
  <c r="C65" i="11" s="1"/>
  <c r="I64" i="11"/>
  <c r="H64" i="14"/>
  <c r="H64" i="11" s="1"/>
  <c r="G64" i="11"/>
  <c r="F64" i="14"/>
  <c r="F64" i="11" s="1"/>
  <c r="E64" i="14"/>
  <c r="E64" i="11" s="1"/>
  <c r="D64" i="11"/>
  <c r="C64" i="14"/>
  <c r="C64" i="11" s="1"/>
  <c r="I63" i="11"/>
  <c r="H63" i="14"/>
  <c r="H63" i="11" s="1"/>
  <c r="G63" i="11"/>
  <c r="F63" i="14"/>
  <c r="F63" i="11" s="1"/>
  <c r="E63" i="14"/>
  <c r="E63" i="11" s="1"/>
  <c r="D63" i="11"/>
  <c r="C63" i="14"/>
  <c r="C63" i="11" s="1"/>
  <c r="I62" i="11"/>
  <c r="H62" i="14"/>
  <c r="H62" i="11" s="1"/>
  <c r="G62" i="11"/>
  <c r="F62" i="14"/>
  <c r="F62" i="11" s="1"/>
  <c r="E62" i="14"/>
  <c r="E62" i="11" s="1"/>
  <c r="D62" i="11"/>
  <c r="C62" i="14"/>
  <c r="C62" i="11" s="1"/>
  <c r="I61" i="11"/>
  <c r="H61" i="14"/>
  <c r="H61" i="11" s="1"/>
  <c r="G61" i="11"/>
  <c r="F61" i="14"/>
  <c r="F61" i="11" s="1"/>
  <c r="E61" i="14"/>
  <c r="E61" i="11" s="1"/>
  <c r="D61" i="11"/>
  <c r="C61" i="14"/>
  <c r="C61" i="11" s="1"/>
  <c r="I60" i="11"/>
  <c r="H60" i="14"/>
  <c r="H60" i="11" s="1"/>
  <c r="G60" i="11"/>
  <c r="F60" i="14"/>
  <c r="F60" i="11" s="1"/>
  <c r="E60" i="14"/>
  <c r="E60" i="11" s="1"/>
  <c r="D60" i="11"/>
  <c r="C60" i="14"/>
  <c r="C60" i="11" s="1"/>
  <c r="G59" i="11"/>
  <c r="I59" i="11"/>
  <c r="H59" i="14"/>
  <c r="H59" i="11" s="1"/>
  <c r="F59" i="14"/>
  <c r="F59" i="11" s="1"/>
  <c r="E59" i="14"/>
  <c r="E59" i="11" s="1"/>
  <c r="D59" i="11"/>
  <c r="C59" i="14"/>
  <c r="C59" i="11" s="1"/>
  <c r="I58" i="11"/>
  <c r="H58" i="14"/>
  <c r="H58" i="11" s="1"/>
  <c r="G58" i="11"/>
  <c r="F58" i="14"/>
  <c r="F58" i="11" s="1"/>
  <c r="E58" i="14"/>
  <c r="E58" i="11" s="1"/>
  <c r="D58" i="11"/>
  <c r="C58" i="14"/>
  <c r="C58" i="11" s="1"/>
  <c r="I57" i="11"/>
  <c r="H57" i="14"/>
  <c r="H57" i="11" s="1"/>
  <c r="G57" i="11"/>
  <c r="F57" i="14"/>
  <c r="F57" i="11" s="1"/>
  <c r="E57" i="14"/>
  <c r="E57" i="11" s="1"/>
  <c r="D57" i="11"/>
  <c r="C57" i="14"/>
  <c r="C57" i="11" s="1"/>
  <c r="I56" i="11"/>
  <c r="H56" i="14"/>
  <c r="H56" i="11" s="1"/>
  <c r="G56" i="11"/>
  <c r="F56" i="14"/>
  <c r="F56" i="11" s="1"/>
  <c r="E56" i="14"/>
  <c r="E56" i="11" s="1"/>
  <c r="D56" i="11"/>
  <c r="C56" i="14"/>
  <c r="C56" i="11" s="1"/>
  <c r="I55" i="11"/>
  <c r="H55" i="14"/>
  <c r="H55" i="11" s="1"/>
  <c r="G55" i="11"/>
  <c r="F55" i="14"/>
  <c r="F55" i="11" s="1"/>
  <c r="E55" i="14"/>
  <c r="E55" i="11" s="1"/>
  <c r="D55" i="11"/>
  <c r="C55" i="14"/>
  <c r="C55" i="11" s="1"/>
  <c r="I54" i="11"/>
  <c r="H54" i="14"/>
  <c r="H54" i="11" s="1"/>
  <c r="G54" i="11"/>
  <c r="F54" i="14"/>
  <c r="F54" i="11" s="1"/>
  <c r="E54" i="14"/>
  <c r="E54" i="11" s="1"/>
  <c r="D54" i="11"/>
  <c r="C54" i="14"/>
  <c r="C54" i="11" s="1"/>
  <c r="F13" i="14" l="1"/>
  <c r="F13" i="11" s="1"/>
  <c r="F14" i="14"/>
  <c r="F14" i="11" s="1"/>
  <c r="F15" i="14"/>
  <c r="F15" i="11" s="1"/>
  <c r="G14" i="14"/>
  <c r="G14" i="11" s="1"/>
  <c r="F16" i="14"/>
  <c r="F16" i="11" s="1"/>
  <c r="F18" i="14"/>
  <c r="F18" i="11" s="1"/>
  <c r="H13" i="14"/>
  <c r="H13" i="11" s="1"/>
  <c r="E13" i="14"/>
  <c r="E13" i="11" s="1"/>
  <c r="I13" i="14"/>
  <c r="I13" i="11" s="1"/>
  <c r="E14" i="14"/>
  <c r="E14" i="11" s="1"/>
  <c r="I14" i="14"/>
  <c r="I14" i="11" s="1"/>
  <c r="G13" i="14"/>
  <c r="G13" i="11" s="1"/>
  <c r="F17" i="14"/>
  <c r="F17" i="11" s="1"/>
  <c r="F19" i="14"/>
  <c r="F19" i="11" s="1"/>
  <c r="D13" i="14"/>
  <c r="D13" i="11" s="1"/>
  <c r="D14" i="14"/>
  <c r="D14" i="11" s="1"/>
  <c r="H14" i="14"/>
  <c r="H14" i="11" s="1"/>
  <c r="B65" i="14"/>
  <c r="B65" i="11" s="1"/>
  <c r="B64" i="14"/>
  <c r="B64" i="11" s="1"/>
  <c r="B63" i="14"/>
  <c r="B63" i="11" s="1"/>
  <c r="B62" i="14"/>
  <c r="B62" i="11" s="1"/>
  <c r="B61" i="14"/>
  <c r="B61" i="11" s="1"/>
  <c r="B60" i="14"/>
  <c r="B60" i="11" s="1"/>
  <c r="B59" i="14"/>
  <c r="B59" i="11" s="1"/>
  <c r="B58" i="14"/>
  <c r="B58" i="11" s="1"/>
  <c r="B57" i="14"/>
  <c r="B57" i="11" s="1"/>
  <c r="B56" i="14"/>
  <c r="B56" i="11" s="1"/>
  <c r="B55" i="14"/>
  <c r="B55" i="11" s="1"/>
  <c r="B54" i="14"/>
  <c r="B54" i="11" s="1"/>
  <c r="I53" i="11"/>
  <c r="H53" i="14"/>
  <c r="H53" i="11" s="1"/>
  <c r="G53" i="11"/>
  <c r="F53" i="14"/>
  <c r="F53" i="11" s="1"/>
  <c r="E53" i="14"/>
  <c r="E53" i="11" s="1"/>
  <c r="D53" i="11"/>
  <c r="C53" i="14"/>
  <c r="C53" i="11" s="1"/>
  <c r="I52" i="11"/>
  <c r="H52" i="14"/>
  <c r="H52" i="11" s="1"/>
  <c r="G52" i="11"/>
  <c r="F52" i="14"/>
  <c r="F52" i="11" s="1"/>
  <c r="E52" i="14"/>
  <c r="E52" i="11" s="1"/>
  <c r="D52" i="11"/>
  <c r="C52" i="14"/>
  <c r="C52" i="11" s="1"/>
  <c r="I51" i="11"/>
  <c r="H51" i="14"/>
  <c r="H51" i="11" s="1"/>
  <c r="G51" i="11"/>
  <c r="F51" i="14"/>
  <c r="F51" i="11" s="1"/>
  <c r="E51" i="14"/>
  <c r="E51" i="11" s="1"/>
  <c r="D51" i="11"/>
  <c r="C51" i="14"/>
  <c r="C51" i="11" s="1"/>
  <c r="I50" i="11"/>
  <c r="H50" i="14"/>
  <c r="H50" i="11" s="1"/>
  <c r="G50" i="11"/>
  <c r="F50" i="14"/>
  <c r="F50" i="11" s="1"/>
  <c r="E50" i="14"/>
  <c r="E50" i="11" s="1"/>
  <c r="D50" i="11"/>
  <c r="C50" i="14"/>
  <c r="C50" i="11" s="1"/>
  <c r="I49" i="11"/>
  <c r="H49" i="14"/>
  <c r="H49" i="11" s="1"/>
  <c r="G49" i="11"/>
  <c r="F49" i="14"/>
  <c r="F49" i="11" s="1"/>
  <c r="E49" i="14"/>
  <c r="E49" i="11" s="1"/>
  <c r="D49" i="11"/>
  <c r="C49" i="14"/>
  <c r="C49" i="11" s="1"/>
  <c r="I48" i="11"/>
  <c r="H48" i="14"/>
  <c r="H48" i="11" s="1"/>
  <c r="G48" i="11"/>
  <c r="F48" i="14"/>
  <c r="F48" i="11" s="1"/>
  <c r="E48" i="14"/>
  <c r="E48" i="11" s="1"/>
  <c r="D48" i="11"/>
  <c r="C48" i="14"/>
  <c r="C48" i="11" s="1"/>
  <c r="I47" i="11"/>
  <c r="H47" i="14"/>
  <c r="H47" i="11" s="1"/>
  <c r="G47" i="11"/>
  <c r="F47" i="14"/>
  <c r="F47" i="11" s="1"/>
  <c r="E47" i="14"/>
  <c r="E47" i="11" s="1"/>
  <c r="D47" i="11"/>
  <c r="C47" i="14"/>
  <c r="C47" i="11" s="1"/>
  <c r="I46" i="11"/>
  <c r="H46" i="14"/>
  <c r="H46" i="11" s="1"/>
  <c r="G46" i="11"/>
  <c r="F46" i="14"/>
  <c r="F46" i="11" s="1"/>
  <c r="E46" i="14"/>
  <c r="E46" i="11" s="1"/>
  <c r="D46" i="11"/>
  <c r="C46" i="14"/>
  <c r="C46" i="11" s="1"/>
  <c r="I45" i="11"/>
  <c r="H45" i="14"/>
  <c r="H45" i="11" s="1"/>
  <c r="G45" i="11"/>
  <c r="F45" i="14"/>
  <c r="F45" i="11" s="1"/>
  <c r="E45" i="14"/>
  <c r="E45" i="11" s="1"/>
  <c r="D45" i="11"/>
  <c r="C45" i="14"/>
  <c r="C45" i="11" s="1"/>
  <c r="I44" i="11"/>
  <c r="H44" i="14"/>
  <c r="H44" i="11" s="1"/>
  <c r="G44" i="11"/>
  <c r="F44" i="14"/>
  <c r="F44" i="11" s="1"/>
  <c r="E44" i="14"/>
  <c r="E44" i="11" s="1"/>
  <c r="D44" i="11"/>
  <c r="C44" i="14"/>
  <c r="C44" i="11" s="1"/>
  <c r="I43" i="11"/>
  <c r="H43" i="14"/>
  <c r="H43" i="11" s="1"/>
  <c r="G43" i="11"/>
  <c r="F43" i="14"/>
  <c r="F43" i="11" s="1"/>
  <c r="E43" i="14"/>
  <c r="E43" i="11" s="1"/>
  <c r="D43" i="11"/>
  <c r="C43" i="14"/>
  <c r="C43" i="11" s="1"/>
  <c r="I42" i="11"/>
  <c r="H42" i="14"/>
  <c r="H42" i="11" s="1"/>
  <c r="G42" i="11"/>
  <c r="F42" i="14"/>
  <c r="F42" i="11" s="1"/>
  <c r="E42" i="14"/>
  <c r="E42" i="11" s="1"/>
  <c r="D42" i="11"/>
  <c r="C42" i="14"/>
  <c r="C42" i="11" s="1"/>
  <c r="I41" i="11"/>
  <c r="H41" i="14"/>
  <c r="H41" i="11" s="1"/>
  <c r="G41" i="11"/>
  <c r="F41" i="14"/>
  <c r="F41" i="11" s="1"/>
  <c r="E41" i="14"/>
  <c r="E41" i="11" s="1"/>
  <c r="D41" i="11"/>
  <c r="C41" i="14"/>
  <c r="C41" i="11" s="1"/>
  <c r="I40" i="11"/>
  <c r="H40" i="14"/>
  <c r="H40" i="11" s="1"/>
  <c r="G40" i="11"/>
  <c r="F40" i="14"/>
  <c r="F40" i="11" s="1"/>
  <c r="E40" i="14"/>
  <c r="E40" i="11" s="1"/>
  <c r="C40" i="14"/>
  <c r="C40" i="11" s="1"/>
  <c r="I39" i="11"/>
  <c r="H39" i="14"/>
  <c r="H39" i="11" s="1"/>
  <c r="G39" i="11"/>
  <c r="F39" i="14"/>
  <c r="F39" i="11" s="1"/>
  <c r="E39" i="14"/>
  <c r="E39" i="11" s="1"/>
  <c r="D39" i="11"/>
  <c r="C39" i="14"/>
  <c r="H38" i="14"/>
  <c r="F38" i="14"/>
  <c r="E38" i="14"/>
  <c r="C38" i="14"/>
  <c r="C121" i="14"/>
  <c r="C121" i="11" s="1"/>
  <c r="C39" i="11" l="1"/>
  <c r="B39" i="14"/>
  <c r="D38" i="11"/>
  <c r="D8" i="14"/>
  <c r="D8" i="11" s="1"/>
  <c r="G38" i="11"/>
  <c r="G8" i="14"/>
  <c r="G8" i="11" s="1"/>
  <c r="D40" i="11"/>
  <c r="D9" i="14"/>
  <c r="D9" i="11" s="1"/>
  <c r="C38" i="11"/>
  <c r="C8" i="14"/>
  <c r="C8" i="11" s="1"/>
  <c r="F38" i="11"/>
  <c r="F8" i="14"/>
  <c r="F8" i="11" s="1"/>
  <c r="H38" i="11"/>
  <c r="H8" i="14"/>
  <c r="H8" i="11" s="1"/>
  <c r="I38" i="11"/>
  <c r="I8" i="14"/>
  <c r="I8" i="11" s="1"/>
  <c r="E38" i="11"/>
  <c r="E8" i="14"/>
  <c r="E8" i="11" s="1"/>
  <c r="F12" i="14"/>
  <c r="F12" i="11" s="1"/>
  <c r="J55" i="14"/>
  <c r="J59" i="14"/>
  <c r="J63" i="14"/>
  <c r="J56" i="14"/>
  <c r="J60" i="14"/>
  <c r="J64" i="14"/>
  <c r="J57" i="14"/>
  <c r="J61" i="14"/>
  <c r="J65" i="14"/>
  <c r="J54" i="14"/>
  <c r="J58" i="14"/>
  <c r="J62" i="14"/>
  <c r="G10" i="14"/>
  <c r="G10" i="11" s="1"/>
  <c r="G11" i="14"/>
  <c r="G11" i="11" s="1"/>
  <c r="G12" i="14"/>
  <c r="G12" i="11" s="1"/>
  <c r="D10" i="14"/>
  <c r="D10" i="11" s="1"/>
  <c r="H10" i="14"/>
  <c r="H10" i="11" s="1"/>
  <c r="D11" i="14"/>
  <c r="D11" i="11" s="1"/>
  <c r="H11" i="14"/>
  <c r="H11" i="11" s="1"/>
  <c r="D12" i="14"/>
  <c r="D12" i="11" s="1"/>
  <c r="H12" i="14"/>
  <c r="H12" i="11" s="1"/>
  <c r="E10" i="14"/>
  <c r="E10" i="11" s="1"/>
  <c r="F9" i="14"/>
  <c r="F9" i="11" s="1"/>
  <c r="F10" i="14"/>
  <c r="F10" i="11" s="1"/>
  <c r="F11" i="14"/>
  <c r="F11" i="11" s="1"/>
  <c r="B13" i="14"/>
  <c r="B13" i="11" s="1"/>
  <c r="B14" i="14"/>
  <c r="B14" i="11" s="1"/>
  <c r="I10" i="14"/>
  <c r="I10" i="11" s="1"/>
  <c r="E11" i="14"/>
  <c r="E11" i="11" s="1"/>
  <c r="I11" i="14"/>
  <c r="I11" i="11" s="1"/>
  <c r="E12" i="14"/>
  <c r="E12" i="11" s="1"/>
  <c r="I12" i="14"/>
  <c r="I12" i="11" s="1"/>
  <c r="C9" i="14"/>
  <c r="C9" i="11" s="1"/>
  <c r="G9" i="14"/>
  <c r="G9" i="11" s="1"/>
  <c r="C10" i="14"/>
  <c r="C10" i="11" s="1"/>
  <c r="H9" i="14"/>
  <c r="H9" i="11" s="1"/>
  <c r="E9" i="14"/>
  <c r="E9" i="11" s="1"/>
  <c r="I9" i="14"/>
  <c r="I9" i="11" s="1"/>
  <c r="B53" i="14"/>
  <c r="B53" i="11" s="1"/>
  <c r="B52" i="14"/>
  <c r="B52" i="11" s="1"/>
  <c r="B51" i="14"/>
  <c r="B51" i="11" s="1"/>
  <c r="B50" i="14"/>
  <c r="B50" i="11" s="1"/>
  <c r="B49" i="14"/>
  <c r="B49" i="11" s="1"/>
  <c r="B48" i="14"/>
  <c r="B48" i="11" s="1"/>
  <c r="B47" i="14"/>
  <c r="B47" i="11" s="1"/>
  <c r="B46" i="14"/>
  <c r="B46" i="11" s="1"/>
  <c r="B45" i="14"/>
  <c r="B45" i="11" s="1"/>
  <c r="B44" i="14"/>
  <c r="B44" i="11" s="1"/>
  <c r="B43" i="14"/>
  <c r="B43" i="11" s="1"/>
  <c r="B42" i="14"/>
  <c r="B42" i="11" s="1"/>
  <c r="B41" i="14"/>
  <c r="B40" i="14"/>
  <c r="B38" i="14"/>
  <c r="B8" i="14" l="1"/>
  <c r="J8" i="14" s="1"/>
  <c r="J38" i="14"/>
  <c r="B38" i="11"/>
  <c r="J39" i="14"/>
  <c r="B39" i="11"/>
  <c r="J40" i="14"/>
  <c r="B40" i="11"/>
  <c r="J41" i="14"/>
  <c r="B41" i="11"/>
  <c r="J53" i="14"/>
  <c r="J42" i="14"/>
  <c r="J46" i="14"/>
  <c r="J50" i="14"/>
  <c r="J49" i="14"/>
  <c r="J43" i="14"/>
  <c r="J47" i="14"/>
  <c r="J51" i="14"/>
  <c r="J45" i="14"/>
  <c r="J44" i="14"/>
  <c r="J48" i="14"/>
  <c r="B12" i="14"/>
  <c r="B12" i="11" s="1"/>
  <c r="J52" i="14"/>
  <c r="B9" i="14"/>
  <c r="B10" i="14"/>
  <c r="B11" i="14"/>
  <c r="B11" i="11" s="1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B8" i="11" l="1"/>
  <c r="J10" i="14"/>
  <c r="B10" i="11"/>
  <c r="J9" i="14"/>
  <c r="B9" i="11"/>
  <c r="I121" i="11"/>
  <c r="H121" i="14"/>
  <c r="H121" i="11" s="1"/>
  <c r="G121" i="11"/>
  <c r="F121" i="14"/>
  <c r="F121" i="11" s="1"/>
  <c r="E121" i="14"/>
  <c r="E121" i="11" s="1"/>
  <c r="D121" i="11"/>
  <c r="B121" i="14" l="1"/>
  <c r="B121" i="11" s="1"/>
  <c r="H120" i="14"/>
  <c r="F120" i="14"/>
  <c r="E120" i="14"/>
  <c r="C120" i="14"/>
  <c r="F120" i="11" l="1"/>
  <c r="F29" i="14"/>
  <c r="F29" i="11" s="1"/>
  <c r="C120" i="11"/>
  <c r="C29" i="14"/>
  <c r="C29" i="11" s="1"/>
  <c r="E120" i="11"/>
  <c r="E29" i="14"/>
  <c r="E29" i="11" s="1"/>
  <c r="H120" i="11"/>
  <c r="H29" i="14"/>
  <c r="H29" i="11" s="1"/>
  <c r="D120" i="11"/>
  <c r="D29" i="14"/>
  <c r="D29" i="11" s="1"/>
  <c r="G120" i="11"/>
  <c r="G29" i="14"/>
  <c r="G29" i="11" s="1"/>
  <c r="I120" i="11"/>
  <c r="I29" i="14"/>
  <c r="I29" i="11" s="1"/>
  <c r="J121" i="14"/>
  <c r="B120" i="14"/>
  <c r="H124" i="1"/>
  <c r="B120" i="11" l="1"/>
  <c r="B29" i="14"/>
  <c r="J120" i="14"/>
  <c r="D124" i="1"/>
  <c r="C124" i="1"/>
  <c r="B124" i="1"/>
  <c r="B29" i="11" l="1"/>
  <c r="J29" i="14"/>
  <c r="H123" i="1" l="1"/>
  <c r="H32" i="1" s="1"/>
  <c r="D123" i="1" l="1"/>
  <c r="D32" i="1" s="1"/>
  <c r="C123" i="1"/>
  <c r="B123" i="1"/>
  <c r="I119" i="11" l="1"/>
  <c r="H119" i="14"/>
  <c r="H119" i="11" s="1"/>
  <c r="G119" i="11"/>
  <c r="F119" i="14"/>
  <c r="F119" i="11" s="1"/>
  <c r="E119" i="14"/>
  <c r="E119" i="11" s="1"/>
  <c r="D119" i="11"/>
  <c r="C119" i="14"/>
  <c r="C119" i="11" s="1"/>
  <c r="B119" i="14" l="1"/>
  <c r="B119" i="11" s="1"/>
  <c r="J119" i="14" l="1"/>
  <c r="B121" i="1"/>
  <c r="H122" i="1"/>
  <c r="H120" i="1" l="1"/>
  <c r="H121" i="1"/>
  <c r="D122" i="1" l="1"/>
  <c r="C122" i="1"/>
  <c r="C31" i="1" s="1"/>
  <c r="B122" i="1"/>
  <c r="B31" i="1" s="1"/>
  <c r="H119" i="1" l="1"/>
  <c r="H31" i="1" s="1"/>
  <c r="D121" i="1" l="1"/>
  <c r="C121" i="1"/>
  <c r="I118" i="11" l="1"/>
  <c r="H118" i="14"/>
  <c r="H118" i="11" s="1"/>
  <c r="G118" i="11"/>
  <c r="F118" i="14"/>
  <c r="F118" i="11" s="1"/>
  <c r="E118" i="14"/>
  <c r="E118" i="11" s="1"/>
  <c r="D118" i="11"/>
  <c r="C118" i="14"/>
  <c r="C118" i="11" s="1"/>
  <c r="B118" i="14" l="1"/>
  <c r="J118" i="14" l="1"/>
  <c r="B118" i="11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I117" i="11" l="1"/>
  <c r="H117" i="14"/>
  <c r="H117" i="11" s="1"/>
  <c r="G117" i="11"/>
  <c r="F117" i="14"/>
  <c r="F117" i="11" s="1"/>
  <c r="E117" i="14"/>
  <c r="E117" i="11" s="1"/>
  <c r="D117" i="11"/>
  <c r="C117" i="14"/>
  <c r="C117" i="11" s="1"/>
  <c r="B117" i="14" l="1"/>
  <c r="B117" i="11" s="1"/>
  <c r="D120" i="1"/>
  <c r="C120" i="1"/>
  <c r="B120" i="1"/>
  <c r="J117" i="14" l="1"/>
  <c r="H116" i="14" l="1"/>
  <c r="F116" i="14"/>
  <c r="E116" i="14"/>
  <c r="C116" i="14"/>
  <c r="F28" i="14" l="1"/>
  <c r="F28" i="11" s="1"/>
  <c r="F116" i="11"/>
  <c r="C28" i="14"/>
  <c r="C28" i="11" s="1"/>
  <c r="C116" i="11"/>
  <c r="D28" i="14"/>
  <c r="D28" i="11" s="1"/>
  <c r="D116" i="11"/>
  <c r="H28" i="14"/>
  <c r="H28" i="11" s="1"/>
  <c r="H116" i="11"/>
  <c r="G28" i="14"/>
  <c r="G28" i="11" s="1"/>
  <c r="G116" i="11"/>
  <c r="E28" i="14"/>
  <c r="E28" i="11" s="1"/>
  <c r="E116" i="11"/>
  <c r="I28" i="14"/>
  <c r="I28" i="11" s="1"/>
  <c r="I116" i="11"/>
  <c r="B116" i="14"/>
  <c r="B116" i="11" s="1"/>
  <c r="B119" i="1"/>
  <c r="C119" i="1"/>
  <c r="C118" i="1"/>
  <c r="C30" i="1" s="1"/>
  <c r="D119" i="1"/>
  <c r="D31" i="1" s="1"/>
  <c r="B28" i="14" l="1"/>
  <c r="J116" i="14"/>
  <c r="J28" i="14" l="1"/>
  <c r="B28" i="11"/>
  <c r="I115" i="11"/>
  <c r="H115" i="14"/>
  <c r="H115" i="11" s="1"/>
  <c r="G115" i="11"/>
  <c r="G114" i="11"/>
  <c r="F115" i="14"/>
  <c r="F115" i="11" s="1"/>
  <c r="E115" i="14"/>
  <c r="E115" i="11" s="1"/>
  <c r="D115" i="11"/>
  <c r="C115" i="14"/>
  <c r="C115" i="11" s="1"/>
  <c r="B115" i="14" l="1"/>
  <c r="B115" i="11" s="1"/>
  <c r="J115" i="14" l="1"/>
  <c r="H118" i="1"/>
  <c r="D118" i="1" l="1"/>
  <c r="B118" i="1"/>
  <c r="B30" i="1" s="1"/>
  <c r="D117" i="1" l="1"/>
  <c r="C117" i="1"/>
  <c r="B117" i="1"/>
  <c r="D116" i="1"/>
  <c r="C116" i="1"/>
  <c r="B116" i="1"/>
  <c r="D115" i="1"/>
  <c r="C115" i="1"/>
  <c r="B115" i="1"/>
  <c r="D114" i="1"/>
  <c r="C114" i="1"/>
  <c r="C29" i="1" s="1"/>
  <c r="B114" i="1"/>
  <c r="B29" i="1" s="1"/>
  <c r="D113" i="1"/>
  <c r="C113" i="1"/>
  <c r="B113" i="1"/>
  <c r="D112" i="1"/>
  <c r="C112" i="1"/>
  <c r="B112" i="1"/>
  <c r="D111" i="1"/>
  <c r="C111" i="1"/>
  <c r="B111" i="1"/>
  <c r="D110" i="1"/>
  <c r="C110" i="1"/>
  <c r="C28" i="1" s="1"/>
  <c r="B110" i="1"/>
  <c r="B28" i="1" s="1"/>
  <c r="D109" i="1"/>
  <c r="C109" i="1"/>
  <c r="B109" i="1"/>
  <c r="D108" i="1"/>
  <c r="C108" i="1"/>
  <c r="B108" i="1"/>
  <c r="D107" i="1"/>
  <c r="C107" i="1"/>
  <c r="B107" i="1"/>
  <c r="D106" i="1"/>
  <c r="C106" i="1"/>
  <c r="C27" i="1" s="1"/>
  <c r="B106" i="1"/>
  <c r="B27" i="1" s="1"/>
  <c r="D105" i="1"/>
  <c r="C105" i="1"/>
  <c r="B105" i="1"/>
  <c r="D104" i="1"/>
  <c r="C104" i="1"/>
  <c r="B104" i="1"/>
  <c r="D103" i="1"/>
  <c r="C103" i="1"/>
  <c r="B103" i="1"/>
  <c r="D102" i="1"/>
  <c r="C102" i="1"/>
  <c r="C26" i="1" s="1"/>
  <c r="B102" i="1"/>
  <c r="B26" i="1" s="1"/>
  <c r="D101" i="1"/>
  <c r="C101" i="1"/>
  <c r="B101" i="1"/>
  <c r="D100" i="1"/>
  <c r="C100" i="1"/>
  <c r="B100" i="1"/>
  <c r="D99" i="1"/>
  <c r="C99" i="1"/>
  <c r="B99" i="1"/>
  <c r="D98" i="1"/>
  <c r="C98" i="1"/>
  <c r="C25" i="1" s="1"/>
  <c r="B98" i="1"/>
  <c r="B25" i="1" s="1"/>
  <c r="D97" i="1"/>
  <c r="C97" i="1"/>
  <c r="B97" i="1"/>
  <c r="D96" i="1"/>
  <c r="C96" i="1"/>
  <c r="B96" i="1"/>
  <c r="D95" i="1"/>
  <c r="C95" i="1"/>
  <c r="B95" i="1"/>
  <c r="D94" i="1"/>
  <c r="C94" i="1"/>
  <c r="C24" i="1" s="1"/>
  <c r="B94" i="1"/>
  <c r="B24" i="1" s="1"/>
  <c r="D93" i="1"/>
  <c r="C93" i="1"/>
  <c r="B93" i="1"/>
  <c r="D92" i="1"/>
  <c r="B92" i="1"/>
  <c r="D91" i="1"/>
  <c r="B91" i="1"/>
  <c r="D90" i="1"/>
  <c r="B90" i="1"/>
  <c r="B23" i="1" s="1"/>
  <c r="D89" i="1"/>
  <c r="B89" i="1"/>
  <c r="D88" i="1"/>
  <c r="D87" i="1"/>
  <c r="D86" i="1"/>
  <c r="D85" i="1"/>
  <c r="D22" i="1" l="1"/>
  <c r="D25" i="1"/>
  <c r="D26" i="1"/>
  <c r="D27" i="1"/>
  <c r="D28" i="1"/>
  <c r="D29" i="1"/>
  <c r="D30" i="1"/>
  <c r="D24" i="1"/>
  <c r="D23" i="1"/>
  <c r="I114" i="11"/>
  <c r="H114" i="14"/>
  <c r="H114" i="11" s="1"/>
  <c r="F114" i="14"/>
  <c r="F114" i="11" s="1"/>
  <c r="E114" i="14"/>
  <c r="E114" i="11" s="1"/>
  <c r="D114" i="11"/>
  <c r="C114" i="14"/>
  <c r="C114" i="11" s="1"/>
  <c r="B114" i="14" l="1"/>
  <c r="J114" i="14" l="1"/>
  <c r="B114" i="11"/>
  <c r="G113" i="11"/>
  <c r="H117" i="1" l="1"/>
  <c r="H87" i="1" l="1"/>
  <c r="H86" i="1"/>
  <c r="H22" i="1" s="1"/>
  <c r="J65" i="19"/>
  <c r="H65" i="19"/>
  <c r="G65" i="19"/>
  <c r="F65" i="19"/>
  <c r="E65" i="19"/>
  <c r="D65" i="19"/>
  <c r="J64" i="19"/>
  <c r="H64" i="19"/>
  <c r="G64" i="19"/>
  <c r="F64" i="19"/>
  <c r="E64" i="19"/>
  <c r="D64" i="19"/>
  <c r="J63" i="19"/>
  <c r="H63" i="19"/>
  <c r="G63" i="19"/>
  <c r="F63" i="19"/>
  <c r="E63" i="19"/>
  <c r="D63" i="19"/>
  <c r="J62" i="19"/>
  <c r="I62" i="19"/>
  <c r="H62" i="19"/>
  <c r="G62" i="19"/>
  <c r="F62" i="19"/>
  <c r="E62" i="19"/>
  <c r="D62" i="19"/>
  <c r="J60" i="19"/>
  <c r="I60" i="19"/>
  <c r="H60" i="19"/>
  <c r="G60" i="19"/>
  <c r="F60" i="19"/>
  <c r="E60" i="19"/>
  <c r="D60" i="19"/>
  <c r="J59" i="19"/>
  <c r="I59" i="19"/>
  <c r="H59" i="19"/>
  <c r="G59" i="19"/>
  <c r="F59" i="19"/>
  <c r="E59" i="19"/>
  <c r="D59" i="19"/>
  <c r="J58" i="19"/>
  <c r="I58" i="19"/>
  <c r="H58" i="19"/>
  <c r="G58" i="19"/>
  <c r="F58" i="19"/>
  <c r="E58" i="19"/>
  <c r="D58" i="19"/>
  <c r="J57" i="19"/>
  <c r="I57" i="19"/>
  <c r="H57" i="19"/>
  <c r="G57" i="19"/>
  <c r="F57" i="19"/>
  <c r="E57" i="19"/>
  <c r="D57" i="19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CA15" i="13"/>
  <c r="BZ15" i="13"/>
  <c r="BY15" i="13"/>
  <c r="BX15" i="13"/>
  <c r="BV15" i="13"/>
  <c r="BU15" i="13"/>
  <c r="BT15" i="13"/>
  <c r="BS15" i="13"/>
  <c r="BQ15" i="13"/>
  <c r="BP15" i="13"/>
  <c r="BO15" i="13"/>
  <c r="BN15" i="13"/>
  <c r="BL15" i="13"/>
  <c r="BK15" i="13"/>
  <c r="BJ15" i="13"/>
  <c r="BI15" i="13"/>
  <c r="BG15" i="13"/>
  <c r="BF15" i="13"/>
  <c r="BE15" i="13"/>
  <c r="BD15" i="13"/>
  <c r="BB15" i="13"/>
  <c r="BA15" i="13"/>
  <c r="AZ15" i="13"/>
  <c r="AY15" i="13"/>
  <c r="CA14" i="13"/>
  <c r="BZ14" i="13"/>
  <c r="BY14" i="13"/>
  <c r="BX14" i="13"/>
  <c r="BV14" i="13"/>
  <c r="BU14" i="13"/>
  <c r="BT14" i="13"/>
  <c r="BS14" i="13"/>
  <c r="BQ14" i="13"/>
  <c r="BP14" i="13"/>
  <c r="BO14" i="13"/>
  <c r="BN14" i="13"/>
  <c r="BL14" i="13"/>
  <c r="BK14" i="13"/>
  <c r="BJ14" i="13"/>
  <c r="BI14" i="13"/>
  <c r="BG14" i="13"/>
  <c r="BF14" i="13"/>
  <c r="BE14" i="13"/>
  <c r="BD14" i="13"/>
  <c r="BB14" i="13"/>
  <c r="BA14" i="13"/>
  <c r="AZ14" i="13"/>
  <c r="AY14" i="13"/>
  <c r="CA13" i="13"/>
  <c r="BZ13" i="13"/>
  <c r="BY13" i="13"/>
  <c r="BX13" i="13"/>
  <c r="BV13" i="13"/>
  <c r="BU13" i="13"/>
  <c r="BT13" i="13"/>
  <c r="BS13" i="13"/>
  <c r="BQ13" i="13"/>
  <c r="BP13" i="13"/>
  <c r="BO13" i="13"/>
  <c r="BN13" i="13"/>
  <c r="BL13" i="13"/>
  <c r="BK13" i="13"/>
  <c r="BJ13" i="13"/>
  <c r="BI13" i="13"/>
  <c r="BG13" i="13"/>
  <c r="BF13" i="13"/>
  <c r="BE13" i="13"/>
  <c r="BD13" i="13"/>
  <c r="BB13" i="13"/>
  <c r="BA13" i="13"/>
  <c r="AZ13" i="13"/>
  <c r="AY13" i="13"/>
  <c r="CA12" i="13"/>
  <c r="BZ12" i="13"/>
  <c r="BY12" i="13"/>
  <c r="BX12" i="13"/>
  <c r="BV12" i="13"/>
  <c r="BU12" i="13"/>
  <c r="BT12" i="13"/>
  <c r="BS12" i="13"/>
  <c r="BQ12" i="13"/>
  <c r="BP12" i="13"/>
  <c r="BO12" i="13"/>
  <c r="BN12" i="13"/>
  <c r="BL12" i="13"/>
  <c r="BK12" i="13"/>
  <c r="BJ12" i="13"/>
  <c r="BI12" i="13"/>
  <c r="BG12" i="13"/>
  <c r="BF12" i="13"/>
  <c r="BE12" i="13"/>
  <c r="BD12" i="13"/>
  <c r="BB12" i="13"/>
  <c r="BA12" i="13"/>
  <c r="AZ12" i="13"/>
  <c r="AY12" i="13"/>
  <c r="CA11" i="13"/>
  <c r="BZ11" i="13"/>
  <c r="BY11" i="13"/>
  <c r="BX11" i="13"/>
  <c r="BV11" i="13"/>
  <c r="BU11" i="13"/>
  <c r="BT11" i="13"/>
  <c r="BS11" i="13"/>
  <c r="BQ11" i="13"/>
  <c r="BP11" i="13"/>
  <c r="BO11" i="13"/>
  <c r="BN11" i="13"/>
  <c r="BL11" i="13"/>
  <c r="BK11" i="13"/>
  <c r="BJ11" i="13"/>
  <c r="BI11" i="13"/>
  <c r="BG11" i="13"/>
  <c r="BF11" i="13"/>
  <c r="BE11" i="13"/>
  <c r="BD11" i="13"/>
  <c r="BB11" i="13"/>
  <c r="BA11" i="13"/>
  <c r="AZ11" i="13"/>
  <c r="AY11" i="13"/>
  <c r="CA10" i="13"/>
  <c r="BZ10" i="13"/>
  <c r="BY10" i="13"/>
  <c r="BX10" i="13"/>
  <c r="BV10" i="13"/>
  <c r="BU10" i="13"/>
  <c r="BT10" i="13"/>
  <c r="BS10" i="13"/>
  <c r="BQ10" i="13"/>
  <c r="BP10" i="13"/>
  <c r="BO10" i="13"/>
  <c r="BN10" i="13"/>
  <c r="BL10" i="13"/>
  <c r="BK10" i="13"/>
  <c r="BJ10" i="13"/>
  <c r="BI10" i="13"/>
  <c r="BG10" i="13"/>
  <c r="BF10" i="13"/>
  <c r="BE10" i="13"/>
  <c r="BD10" i="13"/>
  <c r="BB10" i="13"/>
  <c r="BA10" i="13"/>
  <c r="AZ10" i="13"/>
  <c r="AY10" i="13"/>
  <c r="CA9" i="13"/>
  <c r="BZ9" i="13"/>
  <c r="BY9" i="13"/>
  <c r="BX9" i="13"/>
  <c r="BV9" i="13"/>
  <c r="BU9" i="13"/>
  <c r="BT9" i="13"/>
  <c r="BS9" i="13"/>
  <c r="BQ9" i="13"/>
  <c r="BP9" i="13"/>
  <c r="BO9" i="13"/>
  <c r="BN9" i="13"/>
  <c r="BL9" i="13"/>
  <c r="BK9" i="13"/>
  <c r="BJ9" i="13"/>
  <c r="BI9" i="13"/>
  <c r="BG9" i="13"/>
  <c r="BF9" i="13"/>
  <c r="BE9" i="13"/>
  <c r="BD9" i="13"/>
  <c r="BB9" i="13"/>
  <c r="BA9" i="13"/>
  <c r="AZ9" i="13"/>
  <c r="AY9" i="13"/>
  <c r="CA8" i="13"/>
  <c r="BZ8" i="13"/>
  <c r="BY8" i="13"/>
  <c r="BX8" i="13"/>
  <c r="BV8" i="13"/>
  <c r="BU8" i="13"/>
  <c r="BT8" i="13"/>
  <c r="BS8" i="13"/>
  <c r="BQ8" i="13"/>
  <c r="BP8" i="13"/>
  <c r="BO8" i="13"/>
  <c r="BN8" i="13"/>
  <c r="BL8" i="13"/>
  <c r="BK8" i="13"/>
  <c r="BJ8" i="13"/>
  <c r="BI8" i="13"/>
  <c r="BG8" i="13"/>
  <c r="BF8" i="13"/>
  <c r="BE8" i="13"/>
  <c r="BD8" i="13"/>
  <c r="BB8" i="13"/>
  <c r="BA8" i="13"/>
  <c r="AZ8" i="13"/>
  <c r="AY8" i="13"/>
  <c r="CA7" i="13"/>
  <c r="BZ7" i="13"/>
  <c r="BY7" i="13"/>
  <c r="BX7" i="13"/>
  <c r="BV7" i="13"/>
  <c r="BU7" i="13"/>
  <c r="BT7" i="13"/>
  <c r="BS7" i="13"/>
  <c r="BQ7" i="13"/>
  <c r="BP7" i="13"/>
  <c r="BO7" i="13"/>
  <c r="BN7" i="13"/>
  <c r="BL7" i="13"/>
  <c r="BK7" i="13"/>
  <c r="BJ7" i="13"/>
  <c r="BI7" i="13"/>
  <c r="BG7" i="13"/>
  <c r="BF7" i="13"/>
  <c r="BE7" i="13"/>
  <c r="BD7" i="13"/>
  <c r="BB7" i="13"/>
  <c r="BA7" i="13"/>
  <c r="AZ7" i="13"/>
  <c r="AY7" i="13"/>
  <c r="CA6" i="13"/>
  <c r="BZ6" i="13"/>
  <c r="BY6" i="13"/>
  <c r="BX6" i="13"/>
  <c r="BV6" i="13"/>
  <c r="BU6" i="13"/>
  <c r="BT6" i="13"/>
  <c r="BS6" i="13"/>
  <c r="BQ6" i="13"/>
  <c r="BP6" i="13"/>
  <c r="BO6" i="13"/>
  <c r="BN6" i="13"/>
  <c r="BL6" i="13"/>
  <c r="BK6" i="13"/>
  <c r="BJ6" i="13"/>
  <c r="BI6" i="13"/>
  <c r="BG6" i="13"/>
  <c r="BF6" i="13"/>
  <c r="BE6" i="13"/>
  <c r="BD6" i="13"/>
  <c r="BB6" i="13"/>
  <c r="BA6" i="13"/>
  <c r="AZ6" i="13"/>
  <c r="AY6" i="13"/>
  <c r="AU15" i="13"/>
  <c r="AT15" i="13"/>
  <c r="AU14" i="13"/>
  <c r="AT14" i="13"/>
  <c r="AU13" i="13"/>
  <c r="AT13" i="13"/>
  <c r="AU12" i="13"/>
  <c r="AT12" i="13"/>
  <c r="AU11" i="13"/>
  <c r="AT11" i="13"/>
  <c r="AU10" i="13"/>
  <c r="AT10" i="13"/>
  <c r="AU9" i="13"/>
  <c r="AT9" i="13"/>
  <c r="AU8" i="13"/>
  <c r="AT8" i="13"/>
  <c r="AU7" i="13"/>
  <c r="AT7" i="13"/>
  <c r="AU6" i="13"/>
  <c r="AT6" i="13"/>
  <c r="J53" i="10"/>
  <c r="G53" i="10"/>
  <c r="J59" i="17"/>
  <c r="I59" i="17"/>
  <c r="H59" i="17"/>
  <c r="G59" i="17"/>
  <c r="F59" i="17"/>
  <c r="E59" i="17"/>
  <c r="D59" i="17"/>
  <c r="J58" i="17"/>
  <c r="I58" i="17"/>
  <c r="H58" i="17"/>
  <c r="G58" i="17"/>
  <c r="F58" i="17"/>
  <c r="E58" i="17"/>
  <c r="D58" i="17"/>
  <c r="J57" i="17"/>
  <c r="I57" i="17"/>
  <c r="H57" i="17"/>
  <c r="G57" i="17"/>
  <c r="F57" i="17"/>
  <c r="E57" i="17"/>
  <c r="D57" i="17"/>
  <c r="J56" i="17"/>
  <c r="I56" i="17"/>
  <c r="H56" i="17"/>
  <c r="G56" i="17"/>
  <c r="F56" i="17"/>
  <c r="E56" i="17"/>
  <c r="D56" i="17"/>
  <c r="J55" i="16"/>
  <c r="I55" i="16"/>
  <c r="H55" i="16"/>
  <c r="G55" i="16"/>
  <c r="F55" i="16"/>
  <c r="E55" i="16"/>
  <c r="D55" i="16"/>
  <c r="J53" i="16"/>
  <c r="I53" i="16"/>
  <c r="H53" i="16"/>
  <c r="G53" i="16"/>
  <c r="F53" i="16"/>
  <c r="E53" i="16"/>
  <c r="D53" i="16"/>
  <c r="J52" i="16"/>
  <c r="I52" i="16"/>
  <c r="H52" i="16"/>
  <c r="G52" i="16"/>
  <c r="F52" i="16"/>
  <c r="E52" i="16"/>
  <c r="D52" i="16"/>
  <c r="J51" i="16"/>
  <c r="I51" i="16"/>
  <c r="H51" i="16"/>
  <c r="G51" i="16"/>
  <c r="F51" i="16"/>
  <c r="E51" i="16"/>
  <c r="D51" i="16"/>
  <c r="J50" i="16"/>
  <c r="I50" i="16"/>
  <c r="H50" i="16"/>
  <c r="G50" i="16"/>
  <c r="F50" i="16"/>
  <c r="E50" i="16"/>
  <c r="D50" i="16"/>
  <c r="J48" i="16"/>
  <c r="I48" i="16"/>
  <c r="H48" i="16"/>
  <c r="G48" i="16"/>
  <c r="F48" i="16"/>
  <c r="E48" i="16"/>
  <c r="D48" i="16"/>
  <c r="J47" i="16"/>
  <c r="I47" i="16"/>
  <c r="H47" i="16"/>
  <c r="G47" i="16"/>
  <c r="F47" i="16"/>
  <c r="E47" i="16"/>
  <c r="D47" i="16"/>
  <c r="J46" i="16"/>
  <c r="I46" i="16"/>
  <c r="H46" i="16"/>
  <c r="G46" i="16"/>
  <c r="F46" i="16"/>
  <c r="E46" i="16"/>
  <c r="D46" i="16"/>
  <c r="J45" i="16"/>
  <c r="I45" i="16"/>
  <c r="H45" i="16"/>
  <c r="G45" i="16"/>
  <c r="F45" i="16"/>
  <c r="E45" i="16"/>
  <c r="D45" i="16"/>
  <c r="J43" i="16"/>
  <c r="I43" i="16"/>
  <c r="H43" i="16"/>
  <c r="G43" i="16"/>
  <c r="F43" i="16"/>
  <c r="E43" i="16"/>
  <c r="D43" i="16"/>
  <c r="J42" i="16"/>
  <c r="I42" i="16"/>
  <c r="H42" i="16"/>
  <c r="G42" i="16"/>
  <c r="F42" i="16"/>
  <c r="E42" i="16"/>
  <c r="D42" i="16"/>
  <c r="J41" i="16"/>
  <c r="I41" i="16"/>
  <c r="H41" i="16"/>
  <c r="G41" i="16"/>
  <c r="F41" i="16"/>
  <c r="E41" i="16"/>
  <c r="D41" i="16"/>
  <c r="J40" i="16"/>
  <c r="I40" i="16"/>
  <c r="H40" i="16"/>
  <c r="G40" i="16"/>
  <c r="F40" i="16"/>
  <c r="E40" i="16"/>
  <c r="D40" i="16"/>
  <c r="J38" i="16"/>
  <c r="I38" i="16"/>
  <c r="H38" i="16"/>
  <c r="G38" i="16"/>
  <c r="F38" i="16"/>
  <c r="E38" i="16"/>
  <c r="D38" i="16"/>
  <c r="J37" i="16"/>
  <c r="I37" i="16"/>
  <c r="H37" i="16"/>
  <c r="G37" i="16"/>
  <c r="F37" i="16"/>
  <c r="E37" i="16"/>
  <c r="D37" i="16"/>
  <c r="J36" i="16"/>
  <c r="I36" i="16"/>
  <c r="H36" i="16"/>
  <c r="G36" i="16"/>
  <c r="F36" i="16"/>
  <c r="E36" i="16"/>
  <c r="D36" i="16"/>
  <c r="J35" i="16"/>
  <c r="I35" i="16"/>
  <c r="H35" i="16"/>
  <c r="G35" i="16"/>
  <c r="F35" i="16"/>
  <c r="E35" i="16"/>
  <c r="D35" i="16"/>
  <c r="J33" i="16"/>
  <c r="I33" i="16"/>
  <c r="H33" i="16"/>
  <c r="G33" i="16"/>
  <c r="F33" i="16"/>
  <c r="E33" i="16"/>
  <c r="D33" i="16"/>
  <c r="J32" i="16"/>
  <c r="I32" i="16"/>
  <c r="H32" i="16"/>
  <c r="G32" i="16"/>
  <c r="F32" i="16"/>
  <c r="E32" i="16"/>
  <c r="D32" i="16"/>
  <c r="J31" i="16"/>
  <c r="I31" i="16"/>
  <c r="H31" i="16"/>
  <c r="G31" i="16"/>
  <c r="F31" i="16"/>
  <c r="E31" i="16"/>
  <c r="D31" i="16"/>
  <c r="J30" i="16"/>
  <c r="I30" i="16"/>
  <c r="H30" i="16"/>
  <c r="G30" i="16"/>
  <c r="F30" i="16"/>
  <c r="E30" i="16"/>
  <c r="D30" i="16"/>
  <c r="J28" i="16"/>
  <c r="I28" i="16"/>
  <c r="H28" i="16"/>
  <c r="G28" i="16"/>
  <c r="F28" i="16"/>
  <c r="E28" i="16"/>
  <c r="D28" i="16"/>
  <c r="J27" i="16"/>
  <c r="I27" i="16"/>
  <c r="H27" i="16"/>
  <c r="G27" i="16"/>
  <c r="F27" i="16"/>
  <c r="E27" i="16"/>
  <c r="D27" i="16"/>
  <c r="J26" i="16"/>
  <c r="I26" i="16"/>
  <c r="H26" i="16"/>
  <c r="G26" i="16"/>
  <c r="F26" i="16"/>
  <c r="E26" i="16"/>
  <c r="D26" i="16"/>
  <c r="J25" i="16"/>
  <c r="I25" i="16"/>
  <c r="H25" i="16"/>
  <c r="G25" i="16"/>
  <c r="F25" i="16"/>
  <c r="E25" i="16"/>
  <c r="D25" i="16"/>
  <c r="J23" i="16"/>
  <c r="I23" i="16"/>
  <c r="H23" i="16"/>
  <c r="G23" i="16"/>
  <c r="F23" i="16"/>
  <c r="E23" i="16"/>
  <c r="D23" i="16"/>
  <c r="J22" i="16"/>
  <c r="I22" i="16"/>
  <c r="H22" i="16"/>
  <c r="G22" i="16"/>
  <c r="F22" i="16"/>
  <c r="E22" i="16"/>
  <c r="D22" i="16"/>
  <c r="J21" i="16"/>
  <c r="I21" i="16"/>
  <c r="H21" i="16"/>
  <c r="G21" i="16"/>
  <c r="F21" i="16"/>
  <c r="E21" i="16"/>
  <c r="D21" i="16"/>
  <c r="J20" i="16"/>
  <c r="I20" i="16"/>
  <c r="H20" i="16"/>
  <c r="G20" i="16"/>
  <c r="F20" i="16"/>
  <c r="E20" i="16"/>
  <c r="D20" i="16"/>
  <c r="J18" i="16"/>
  <c r="I18" i="16"/>
  <c r="H18" i="16"/>
  <c r="G18" i="16"/>
  <c r="F18" i="16"/>
  <c r="E18" i="16"/>
  <c r="D18" i="16"/>
  <c r="J17" i="16"/>
  <c r="I17" i="16"/>
  <c r="H17" i="16"/>
  <c r="G17" i="16"/>
  <c r="F17" i="16"/>
  <c r="E17" i="16"/>
  <c r="D17" i="16"/>
  <c r="J16" i="16"/>
  <c r="I16" i="16"/>
  <c r="H16" i="16"/>
  <c r="G16" i="16"/>
  <c r="F16" i="16"/>
  <c r="E16" i="16"/>
  <c r="D16" i="16"/>
  <c r="J15" i="16"/>
  <c r="I15" i="16"/>
  <c r="H15" i="16"/>
  <c r="G15" i="16"/>
  <c r="F15" i="16"/>
  <c r="E15" i="16"/>
  <c r="D15" i="16"/>
  <c r="I65" i="19"/>
  <c r="I64" i="19"/>
  <c r="I63" i="19"/>
  <c r="J53" i="19"/>
  <c r="I53" i="19"/>
  <c r="H53" i="19"/>
  <c r="G53" i="19"/>
  <c r="F53" i="19"/>
  <c r="E53" i="19"/>
  <c r="D53" i="19"/>
  <c r="J50" i="19"/>
  <c r="I50" i="19"/>
  <c r="H50" i="19"/>
  <c r="G50" i="19"/>
  <c r="F50" i="19"/>
  <c r="E50" i="19"/>
  <c r="D50" i="19"/>
  <c r="I53" i="10"/>
  <c r="H53" i="10"/>
  <c r="F53" i="10"/>
  <c r="E53" i="10"/>
  <c r="D53" i="10"/>
  <c r="J52" i="10"/>
  <c r="I52" i="10"/>
  <c r="H52" i="10"/>
  <c r="G52" i="10"/>
  <c r="F52" i="10"/>
  <c r="E52" i="10"/>
  <c r="D52" i="10"/>
  <c r="J51" i="10"/>
  <c r="I51" i="10"/>
  <c r="H51" i="10"/>
  <c r="G51" i="10"/>
  <c r="F51" i="10"/>
  <c r="E51" i="10"/>
  <c r="D51" i="10"/>
  <c r="J50" i="10"/>
  <c r="I50" i="10"/>
  <c r="H50" i="10"/>
  <c r="G50" i="10"/>
  <c r="F50" i="10"/>
  <c r="E50" i="10"/>
  <c r="D50" i="10"/>
  <c r="J48" i="10"/>
  <c r="I48" i="10"/>
  <c r="H48" i="10"/>
  <c r="G48" i="10"/>
  <c r="F48" i="10"/>
  <c r="E48" i="10"/>
  <c r="D48" i="10"/>
  <c r="J47" i="10"/>
  <c r="I47" i="10"/>
  <c r="H47" i="10"/>
  <c r="G47" i="10"/>
  <c r="F47" i="10"/>
  <c r="E47" i="10"/>
  <c r="D47" i="10"/>
  <c r="J46" i="10"/>
  <c r="I46" i="10"/>
  <c r="H46" i="10"/>
  <c r="G46" i="10"/>
  <c r="F46" i="10"/>
  <c r="E46" i="10"/>
  <c r="D46" i="10"/>
  <c r="J45" i="10"/>
  <c r="I45" i="10"/>
  <c r="H45" i="10"/>
  <c r="G45" i="10"/>
  <c r="F45" i="10"/>
  <c r="E45" i="10"/>
  <c r="D45" i="10"/>
  <c r="J43" i="10"/>
  <c r="I43" i="10"/>
  <c r="H43" i="10"/>
  <c r="G43" i="10"/>
  <c r="F43" i="10"/>
  <c r="E43" i="10"/>
  <c r="D43" i="10"/>
  <c r="J42" i="10"/>
  <c r="I42" i="10"/>
  <c r="H42" i="10"/>
  <c r="G42" i="10"/>
  <c r="F42" i="10"/>
  <c r="E42" i="10"/>
  <c r="D42" i="10"/>
  <c r="J41" i="10"/>
  <c r="I41" i="10"/>
  <c r="H41" i="10"/>
  <c r="G41" i="10"/>
  <c r="F41" i="10"/>
  <c r="E41" i="10"/>
  <c r="D41" i="10"/>
  <c r="J40" i="10"/>
  <c r="I40" i="10"/>
  <c r="H40" i="10"/>
  <c r="G40" i="10"/>
  <c r="F40" i="10"/>
  <c r="E40" i="10"/>
  <c r="D40" i="10"/>
  <c r="J38" i="10"/>
  <c r="I38" i="10"/>
  <c r="H38" i="10"/>
  <c r="G38" i="10"/>
  <c r="F38" i="10"/>
  <c r="E38" i="10"/>
  <c r="D38" i="10"/>
  <c r="J37" i="10"/>
  <c r="I37" i="10"/>
  <c r="H37" i="10"/>
  <c r="G37" i="10"/>
  <c r="F37" i="10"/>
  <c r="E37" i="10"/>
  <c r="D37" i="10"/>
  <c r="J36" i="10"/>
  <c r="I36" i="10"/>
  <c r="H36" i="10"/>
  <c r="G36" i="10"/>
  <c r="F36" i="10"/>
  <c r="E36" i="10"/>
  <c r="D36" i="10"/>
  <c r="J35" i="10"/>
  <c r="I35" i="10"/>
  <c r="H35" i="10"/>
  <c r="G35" i="10"/>
  <c r="F35" i="10"/>
  <c r="E35" i="10"/>
  <c r="D35" i="10"/>
  <c r="J33" i="10"/>
  <c r="I33" i="10"/>
  <c r="H33" i="10"/>
  <c r="G33" i="10"/>
  <c r="F33" i="10"/>
  <c r="E33" i="10"/>
  <c r="D33" i="10"/>
  <c r="J32" i="10"/>
  <c r="I32" i="10"/>
  <c r="H32" i="10"/>
  <c r="G32" i="10"/>
  <c r="F32" i="10"/>
  <c r="E32" i="10"/>
  <c r="D32" i="10"/>
  <c r="J31" i="10"/>
  <c r="I31" i="10"/>
  <c r="H31" i="10"/>
  <c r="G31" i="10"/>
  <c r="F31" i="10"/>
  <c r="E31" i="10"/>
  <c r="D31" i="10"/>
  <c r="J30" i="10"/>
  <c r="I30" i="10"/>
  <c r="H30" i="10"/>
  <c r="G30" i="10"/>
  <c r="F30" i="10"/>
  <c r="E30" i="10"/>
  <c r="D30" i="10"/>
  <c r="J28" i="10"/>
  <c r="I28" i="10"/>
  <c r="H28" i="10"/>
  <c r="G28" i="10"/>
  <c r="F28" i="10"/>
  <c r="E28" i="10"/>
  <c r="D28" i="10"/>
  <c r="J27" i="10"/>
  <c r="I27" i="10"/>
  <c r="H27" i="10"/>
  <c r="G27" i="10"/>
  <c r="F27" i="10"/>
  <c r="E27" i="10"/>
  <c r="D27" i="10"/>
  <c r="J26" i="10"/>
  <c r="I26" i="10"/>
  <c r="H26" i="10"/>
  <c r="G26" i="10"/>
  <c r="F26" i="10"/>
  <c r="E26" i="10"/>
  <c r="D26" i="10"/>
  <c r="J25" i="10"/>
  <c r="I25" i="10"/>
  <c r="H25" i="10"/>
  <c r="G25" i="10"/>
  <c r="F25" i="10"/>
  <c r="E25" i="10"/>
  <c r="D25" i="10"/>
  <c r="J23" i="10"/>
  <c r="I23" i="10"/>
  <c r="H23" i="10"/>
  <c r="G23" i="10"/>
  <c r="F23" i="10"/>
  <c r="E23" i="10"/>
  <c r="D23" i="10"/>
  <c r="J22" i="10"/>
  <c r="I22" i="10"/>
  <c r="H22" i="10"/>
  <c r="G22" i="10"/>
  <c r="F22" i="10"/>
  <c r="E22" i="10"/>
  <c r="D22" i="10"/>
  <c r="J21" i="10"/>
  <c r="I21" i="10"/>
  <c r="H21" i="10"/>
  <c r="G21" i="10"/>
  <c r="F21" i="10"/>
  <c r="E21" i="10"/>
  <c r="D21" i="10"/>
  <c r="J20" i="10"/>
  <c r="I20" i="10"/>
  <c r="H20" i="10"/>
  <c r="G20" i="10"/>
  <c r="F20" i="10"/>
  <c r="E20" i="10"/>
  <c r="D20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15" i="10"/>
  <c r="I15" i="10"/>
  <c r="H15" i="10"/>
  <c r="G15" i="10"/>
  <c r="F15" i="10"/>
  <c r="E15" i="10"/>
  <c r="D15" i="10"/>
  <c r="J55" i="9"/>
  <c r="I55" i="9"/>
  <c r="H55" i="9"/>
  <c r="G55" i="9"/>
  <c r="F55" i="9"/>
  <c r="E55" i="9"/>
  <c r="D55" i="9"/>
  <c r="J53" i="9"/>
  <c r="I53" i="9"/>
  <c r="H53" i="9"/>
  <c r="G53" i="9"/>
  <c r="F53" i="9"/>
  <c r="E53" i="9"/>
  <c r="D53" i="9"/>
  <c r="J52" i="9"/>
  <c r="I52" i="9"/>
  <c r="H52" i="9"/>
  <c r="G52" i="9"/>
  <c r="F52" i="9"/>
  <c r="E52" i="9"/>
  <c r="D52" i="9"/>
  <c r="J51" i="9"/>
  <c r="I51" i="9"/>
  <c r="H51" i="9"/>
  <c r="G51" i="9"/>
  <c r="F51" i="9"/>
  <c r="E51" i="9"/>
  <c r="D51" i="9"/>
  <c r="J50" i="9"/>
  <c r="I50" i="9"/>
  <c r="H50" i="9"/>
  <c r="G50" i="9"/>
  <c r="F50" i="9"/>
  <c r="E50" i="9"/>
  <c r="D50" i="9"/>
  <c r="J48" i="9"/>
  <c r="I48" i="9"/>
  <c r="H48" i="9"/>
  <c r="G48" i="9"/>
  <c r="F48" i="9"/>
  <c r="E48" i="9"/>
  <c r="D48" i="9"/>
  <c r="J47" i="9"/>
  <c r="I47" i="9"/>
  <c r="H47" i="9"/>
  <c r="G47" i="9"/>
  <c r="F47" i="9"/>
  <c r="E47" i="9"/>
  <c r="D47" i="9"/>
  <c r="J46" i="9"/>
  <c r="I46" i="9"/>
  <c r="H46" i="9"/>
  <c r="G46" i="9"/>
  <c r="F46" i="9"/>
  <c r="E46" i="9"/>
  <c r="D46" i="9"/>
  <c r="J45" i="9"/>
  <c r="I45" i="9"/>
  <c r="H45" i="9"/>
  <c r="G45" i="9"/>
  <c r="F45" i="9"/>
  <c r="E45" i="9"/>
  <c r="D45" i="9"/>
  <c r="J43" i="9"/>
  <c r="I43" i="9"/>
  <c r="H43" i="9"/>
  <c r="G43" i="9"/>
  <c r="F43" i="9"/>
  <c r="E43" i="9"/>
  <c r="D43" i="9"/>
  <c r="J42" i="9"/>
  <c r="I42" i="9"/>
  <c r="H42" i="9"/>
  <c r="G42" i="9"/>
  <c r="F42" i="9"/>
  <c r="E42" i="9"/>
  <c r="D42" i="9"/>
  <c r="J41" i="9"/>
  <c r="I41" i="9"/>
  <c r="H41" i="9"/>
  <c r="G41" i="9"/>
  <c r="F41" i="9"/>
  <c r="E41" i="9"/>
  <c r="D41" i="9"/>
  <c r="J40" i="9"/>
  <c r="I40" i="9"/>
  <c r="H40" i="9"/>
  <c r="G40" i="9"/>
  <c r="F40" i="9"/>
  <c r="E40" i="9"/>
  <c r="D40" i="9"/>
  <c r="J38" i="9"/>
  <c r="I38" i="9"/>
  <c r="H38" i="9"/>
  <c r="G38" i="9"/>
  <c r="F38" i="9"/>
  <c r="E38" i="9"/>
  <c r="D38" i="9"/>
  <c r="J37" i="9"/>
  <c r="I37" i="9"/>
  <c r="H37" i="9"/>
  <c r="G37" i="9"/>
  <c r="F37" i="9"/>
  <c r="E37" i="9"/>
  <c r="D37" i="9"/>
  <c r="J36" i="9"/>
  <c r="I36" i="9"/>
  <c r="H36" i="9"/>
  <c r="G36" i="9"/>
  <c r="F36" i="9"/>
  <c r="E36" i="9"/>
  <c r="D36" i="9"/>
  <c r="J35" i="9"/>
  <c r="I35" i="9"/>
  <c r="H35" i="9"/>
  <c r="G35" i="9"/>
  <c r="F35" i="9"/>
  <c r="E35" i="9"/>
  <c r="D35" i="9"/>
  <c r="J33" i="9"/>
  <c r="I33" i="9"/>
  <c r="H33" i="9"/>
  <c r="G33" i="9"/>
  <c r="F33" i="9"/>
  <c r="E33" i="9"/>
  <c r="D33" i="9"/>
  <c r="J32" i="9"/>
  <c r="I32" i="9"/>
  <c r="H32" i="9"/>
  <c r="G32" i="9"/>
  <c r="F32" i="9"/>
  <c r="E32" i="9"/>
  <c r="D32" i="9"/>
  <c r="J31" i="9"/>
  <c r="I31" i="9"/>
  <c r="H31" i="9"/>
  <c r="G31" i="9"/>
  <c r="F31" i="9"/>
  <c r="E31" i="9"/>
  <c r="D31" i="9"/>
  <c r="J30" i="9"/>
  <c r="I30" i="9"/>
  <c r="H30" i="9"/>
  <c r="G30" i="9"/>
  <c r="F30" i="9"/>
  <c r="E30" i="9"/>
  <c r="D30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J26" i="9"/>
  <c r="I26" i="9"/>
  <c r="H26" i="9"/>
  <c r="G26" i="9"/>
  <c r="F26" i="9"/>
  <c r="E26" i="9"/>
  <c r="D26" i="9"/>
  <c r="J25" i="9"/>
  <c r="I25" i="9"/>
  <c r="H25" i="9"/>
  <c r="G25" i="9"/>
  <c r="F25" i="9"/>
  <c r="E25" i="9"/>
  <c r="D25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J18" i="9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15" i="9"/>
  <c r="I15" i="9"/>
  <c r="H15" i="9"/>
  <c r="G15" i="9"/>
  <c r="F15" i="9"/>
  <c r="E15" i="9"/>
  <c r="D15" i="9"/>
  <c r="J13" i="16"/>
  <c r="I13" i="16"/>
  <c r="H13" i="16"/>
  <c r="G13" i="16"/>
  <c r="F13" i="16"/>
  <c r="E13" i="16"/>
  <c r="D13" i="16"/>
  <c r="J12" i="16"/>
  <c r="I12" i="16"/>
  <c r="H12" i="16"/>
  <c r="G12" i="16"/>
  <c r="F12" i="16"/>
  <c r="E12" i="16"/>
  <c r="D12" i="16"/>
  <c r="J11" i="16"/>
  <c r="I11" i="16"/>
  <c r="H11" i="16"/>
  <c r="G11" i="16"/>
  <c r="F11" i="16"/>
  <c r="E11" i="16"/>
  <c r="D11" i="16"/>
  <c r="J10" i="16"/>
  <c r="I10" i="16"/>
  <c r="H10" i="16"/>
  <c r="G10" i="16"/>
  <c r="F10" i="16"/>
  <c r="E10" i="16"/>
  <c r="D10" i="16"/>
  <c r="J9" i="16"/>
  <c r="I9" i="16"/>
  <c r="H9" i="16"/>
  <c r="G9" i="16"/>
  <c r="F9" i="16"/>
  <c r="E9" i="16"/>
  <c r="D9" i="16"/>
  <c r="J8" i="16"/>
  <c r="I8" i="16"/>
  <c r="H8" i="16"/>
  <c r="G8" i="16"/>
  <c r="F8" i="16"/>
  <c r="E8" i="16"/>
  <c r="D8" i="16"/>
  <c r="J7" i="16"/>
  <c r="I7" i="16"/>
  <c r="H7" i="16"/>
  <c r="G7" i="16"/>
  <c r="F7" i="16"/>
  <c r="E7" i="16"/>
  <c r="D7" i="16"/>
  <c r="J8" i="19"/>
  <c r="I8" i="19"/>
  <c r="H8" i="19"/>
  <c r="G8" i="19"/>
  <c r="F8" i="19"/>
  <c r="E8" i="19"/>
  <c r="D8" i="19"/>
  <c r="J7" i="19"/>
  <c r="I7" i="19"/>
  <c r="H7" i="19"/>
  <c r="G7" i="19"/>
  <c r="F7" i="19"/>
  <c r="E7" i="19"/>
  <c r="D7" i="19"/>
  <c r="J13" i="9"/>
  <c r="I13" i="9"/>
  <c r="H13" i="9"/>
  <c r="G13" i="9"/>
  <c r="F13" i="9"/>
  <c r="E13" i="9"/>
  <c r="D13" i="9"/>
  <c r="J12" i="9"/>
  <c r="I12" i="9"/>
  <c r="H12" i="9"/>
  <c r="G12" i="9"/>
  <c r="F12" i="9"/>
  <c r="E12" i="9"/>
  <c r="D12" i="9"/>
  <c r="J11" i="9"/>
  <c r="I11" i="9"/>
  <c r="H11" i="9"/>
  <c r="G11" i="9"/>
  <c r="F11" i="9"/>
  <c r="E11" i="9"/>
  <c r="D11" i="9"/>
  <c r="J10" i="9"/>
  <c r="I10" i="9"/>
  <c r="H10" i="9"/>
  <c r="G10" i="9"/>
  <c r="F10" i="9"/>
  <c r="E10" i="9"/>
  <c r="D10" i="9"/>
  <c r="J9" i="9"/>
  <c r="I9" i="9"/>
  <c r="H9" i="9"/>
  <c r="G9" i="9"/>
  <c r="F9" i="9"/>
  <c r="E9" i="9"/>
  <c r="D9" i="9"/>
  <c r="J8" i="9"/>
  <c r="I8" i="9"/>
  <c r="H8" i="9"/>
  <c r="G8" i="9"/>
  <c r="F8" i="9"/>
  <c r="E8" i="9"/>
  <c r="D8" i="9"/>
  <c r="J7" i="9"/>
  <c r="I7" i="9"/>
  <c r="H7" i="9"/>
  <c r="G7" i="9"/>
  <c r="F7" i="9"/>
  <c r="E7" i="9"/>
  <c r="D7" i="9"/>
  <c r="EX15" i="26"/>
  <c r="EW15" i="26"/>
  <c r="EV15" i="26"/>
  <c r="ET15" i="26"/>
  <c r="ES15" i="26"/>
  <c r="ER15" i="26"/>
  <c r="EQ15" i="26"/>
  <c r="EO15" i="26"/>
  <c r="EN15" i="26"/>
  <c r="EM15" i="26"/>
  <c r="EL15" i="26"/>
  <c r="EJ15" i="26"/>
  <c r="EI15" i="26"/>
  <c r="EH15" i="26"/>
  <c r="EG15" i="26"/>
  <c r="ED15" i="26"/>
  <c r="EC15" i="26"/>
  <c r="EB15" i="26"/>
  <c r="EA15" i="26"/>
  <c r="DY15" i="26"/>
  <c r="DX15" i="26"/>
  <c r="DW15" i="26"/>
  <c r="EX14" i="26"/>
  <c r="EW14" i="26"/>
  <c r="EV14" i="26"/>
  <c r="ET14" i="26"/>
  <c r="ES14" i="26"/>
  <c r="ER14" i="26"/>
  <c r="EQ14" i="26"/>
  <c r="EO14" i="26"/>
  <c r="EN14" i="26"/>
  <c r="EM14" i="26"/>
  <c r="EL14" i="26"/>
  <c r="EJ14" i="26"/>
  <c r="EI14" i="26"/>
  <c r="EH14" i="26"/>
  <c r="EG14" i="26"/>
  <c r="ED14" i="26"/>
  <c r="EC14" i="26"/>
  <c r="EB14" i="26"/>
  <c r="EA14" i="26"/>
  <c r="DY14" i="26"/>
  <c r="DX14" i="26"/>
  <c r="DW14" i="26"/>
  <c r="EX13" i="26"/>
  <c r="EW13" i="26"/>
  <c r="EV13" i="26"/>
  <c r="ET13" i="26"/>
  <c r="ES13" i="26"/>
  <c r="ER13" i="26"/>
  <c r="EQ13" i="26"/>
  <c r="EO13" i="26"/>
  <c r="EN13" i="26"/>
  <c r="EM13" i="26"/>
  <c r="EL13" i="26"/>
  <c r="EJ13" i="26"/>
  <c r="EI13" i="26"/>
  <c r="EH13" i="26"/>
  <c r="EG13" i="26"/>
  <c r="ED13" i="26"/>
  <c r="EC13" i="26"/>
  <c r="EB13" i="26"/>
  <c r="EA13" i="26"/>
  <c r="DY13" i="26"/>
  <c r="DX13" i="26"/>
  <c r="DW13" i="26"/>
  <c r="EX12" i="26"/>
  <c r="EW12" i="26"/>
  <c r="EV12" i="26"/>
  <c r="ET12" i="26"/>
  <c r="ES12" i="26"/>
  <c r="ER12" i="26"/>
  <c r="EQ12" i="26"/>
  <c r="EO12" i="26"/>
  <c r="EN12" i="26"/>
  <c r="EM12" i="26"/>
  <c r="EL12" i="26"/>
  <c r="EJ12" i="26"/>
  <c r="EI12" i="26"/>
  <c r="EH12" i="26"/>
  <c r="EG12" i="26"/>
  <c r="ED12" i="26"/>
  <c r="EC12" i="26"/>
  <c r="EB12" i="26"/>
  <c r="EA12" i="26"/>
  <c r="DY12" i="26"/>
  <c r="DX12" i="26"/>
  <c r="DW12" i="26"/>
  <c r="EX11" i="26"/>
  <c r="EW11" i="26"/>
  <c r="EV11" i="26"/>
  <c r="ET11" i="26"/>
  <c r="ES11" i="26"/>
  <c r="ER11" i="26"/>
  <c r="EQ11" i="26"/>
  <c r="EO11" i="26"/>
  <c r="EN11" i="26"/>
  <c r="EM11" i="26"/>
  <c r="EL11" i="26"/>
  <c r="EJ11" i="26"/>
  <c r="EI11" i="26"/>
  <c r="EH11" i="26"/>
  <c r="EG11" i="26"/>
  <c r="ED11" i="26"/>
  <c r="EC11" i="26"/>
  <c r="EB11" i="26"/>
  <c r="EA11" i="26"/>
  <c r="DY11" i="26"/>
  <c r="DX11" i="26"/>
  <c r="DW11" i="26"/>
  <c r="EX10" i="26"/>
  <c r="EW10" i="26"/>
  <c r="EV10" i="26"/>
  <c r="ET10" i="26"/>
  <c r="ES10" i="26"/>
  <c r="ER10" i="26"/>
  <c r="EQ10" i="26"/>
  <c r="EO10" i="26"/>
  <c r="EN10" i="26"/>
  <c r="EM10" i="26"/>
  <c r="EL10" i="26"/>
  <c r="EJ10" i="26"/>
  <c r="EI10" i="26"/>
  <c r="EH10" i="26"/>
  <c r="EG10" i="26"/>
  <c r="ED10" i="26"/>
  <c r="EC10" i="26"/>
  <c r="EB10" i="26"/>
  <c r="EA10" i="26"/>
  <c r="DY10" i="26"/>
  <c r="DX10" i="26"/>
  <c r="DW10" i="26"/>
  <c r="EX9" i="26"/>
  <c r="EW9" i="26"/>
  <c r="EV9" i="26"/>
  <c r="ET9" i="26"/>
  <c r="ES9" i="26"/>
  <c r="ER9" i="26"/>
  <c r="EQ9" i="26"/>
  <c r="EO9" i="26"/>
  <c r="EN9" i="26"/>
  <c r="EM9" i="26"/>
  <c r="EL9" i="26"/>
  <c r="EJ9" i="26"/>
  <c r="EI9" i="26"/>
  <c r="EH9" i="26"/>
  <c r="EG9" i="26"/>
  <c r="ED9" i="26"/>
  <c r="EC9" i="26"/>
  <c r="EB9" i="26"/>
  <c r="EA9" i="26"/>
  <c r="DY9" i="26"/>
  <c r="DX9" i="26"/>
  <c r="DW9" i="26"/>
  <c r="EX8" i="26"/>
  <c r="EW8" i="26"/>
  <c r="EV8" i="26"/>
  <c r="ET8" i="26"/>
  <c r="ES8" i="26"/>
  <c r="ER8" i="26"/>
  <c r="EQ8" i="26"/>
  <c r="EO8" i="26"/>
  <c r="EN8" i="26"/>
  <c r="EM8" i="26"/>
  <c r="EL8" i="26"/>
  <c r="EJ8" i="26"/>
  <c r="EI8" i="26"/>
  <c r="EH8" i="26"/>
  <c r="EG8" i="26"/>
  <c r="ED8" i="26"/>
  <c r="EC8" i="26"/>
  <c r="EB8" i="26"/>
  <c r="EA8" i="26"/>
  <c r="DY8" i="26"/>
  <c r="DX8" i="26"/>
  <c r="DW8" i="26"/>
  <c r="EX7" i="26"/>
  <c r="EW7" i="26"/>
  <c r="EV7" i="26"/>
  <c r="ET7" i="26"/>
  <c r="ES7" i="26"/>
  <c r="ER7" i="26"/>
  <c r="EQ7" i="26"/>
  <c r="EO7" i="26"/>
  <c r="EN7" i="26"/>
  <c r="EM7" i="26"/>
  <c r="EL7" i="26"/>
  <c r="EJ7" i="26"/>
  <c r="EI7" i="26"/>
  <c r="EH7" i="26"/>
  <c r="EG7" i="26"/>
  <c r="ED7" i="26"/>
  <c r="EC7" i="26"/>
  <c r="EB7" i="26"/>
  <c r="EA7" i="26"/>
  <c r="DY7" i="26"/>
  <c r="DX7" i="26"/>
  <c r="DW7" i="26"/>
  <c r="EX6" i="26"/>
  <c r="EW6" i="26"/>
  <c r="EV6" i="26"/>
  <c r="ET6" i="26"/>
  <c r="ES6" i="26"/>
  <c r="ER6" i="26"/>
  <c r="EQ6" i="26"/>
  <c r="EO6" i="26"/>
  <c r="EN6" i="26"/>
  <c r="EM6" i="26"/>
  <c r="EL6" i="26"/>
  <c r="EJ6" i="26"/>
  <c r="EI6" i="26"/>
  <c r="EH6" i="26"/>
  <c r="EG6" i="26"/>
  <c r="ED6" i="26"/>
  <c r="EC6" i="26"/>
  <c r="EB6" i="26"/>
  <c r="EA6" i="26"/>
  <c r="DY6" i="26"/>
  <c r="DX6" i="26"/>
  <c r="DW6" i="26"/>
  <c r="I113" i="11"/>
  <c r="H113" i="14"/>
  <c r="H113" i="11" s="1"/>
  <c r="F113" i="14"/>
  <c r="F113" i="11" s="1"/>
  <c r="E113" i="14"/>
  <c r="E113" i="11" s="1"/>
  <c r="D113" i="11"/>
  <c r="C113" i="14"/>
  <c r="C113" i="11" s="1"/>
  <c r="I112" i="11"/>
  <c r="H112" i="14"/>
  <c r="H112" i="11" s="1"/>
  <c r="F112" i="14"/>
  <c r="F112" i="11" s="1"/>
  <c r="E112" i="14"/>
  <c r="E112" i="11" s="1"/>
  <c r="D112" i="11"/>
  <c r="I111" i="11"/>
  <c r="H111" i="14"/>
  <c r="H111" i="11" s="1"/>
  <c r="G111" i="11"/>
  <c r="F111" i="14"/>
  <c r="F111" i="11" s="1"/>
  <c r="E111" i="14"/>
  <c r="E111" i="11" s="1"/>
  <c r="D111" i="11"/>
  <c r="I110" i="11"/>
  <c r="H110" i="14"/>
  <c r="H110" i="11" s="1"/>
  <c r="G110" i="11"/>
  <c r="F110" i="14"/>
  <c r="F110" i="11" s="1"/>
  <c r="E110" i="14"/>
  <c r="E110" i="11" s="1"/>
  <c r="D110" i="11"/>
  <c r="I109" i="11"/>
  <c r="H109" i="14"/>
  <c r="H109" i="11" s="1"/>
  <c r="G109" i="11"/>
  <c r="F109" i="14"/>
  <c r="F109" i="11" s="1"/>
  <c r="E109" i="14"/>
  <c r="E109" i="11" s="1"/>
  <c r="D109" i="11"/>
  <c r="C109" i="14"/>
  <c r="C109" i="11" s="1"/>
  <c r="I108" i="11"/>
  <c r="H108" i="14"/>
  <c r="H108" i="11" s="1"/>
  <c r="G108" i="11"/>
  <c r="F108" i="14"/>
  <c r="F108" i="11" s="1"/>
  <c r="E108" i="14"/>
  <c r="E108" i="11" s="1"/>
  <c r="D108" i="11"/>
  <c r="C108" i="14"/>
  <c r="C108" i="11" s="1"/>
  <c r="I107" i="11"/>
  <c r="H107" i="14"/>
  <c r="H107" i="11" s="1"/>
  <c r="G107" i="11"/>
  <c r="F107" i="14"/>
  <c r="F107" i="11" s="1"/>
  <c r="E107" i="14"/>
  <c r="E107" i="11" s="1"/>
  <c r="D107" i="11"/>
  <c r="C107" i="14"/>
  <c r="C107" i="11" s="1"/>
  <c r="I106" i="11"/>
  <c r="H106" i="14"/>
  <c r="H106" i="11" s="1"/>
  <c r="G106" i="11"/>
  <c r="F106" i="14"/>
  <c r="F106" i="11" s="1"/>
  <c r="E106" i="14"/>
  <c r="E106" i="11" s="1"/>
  <c r="D106" i="11"/>
  <c r="C106" i="14"/>
  <c r="C106" i="11" s="1"/>
  <c r="I105" i="11"/>
  <c r="H105" i="14"/>
  <c r="H105" i="11" s="1"/>
  <c r="G105" i="11"/>
  <c r="F105" i="14"/>
  <c r="F105" i="11" s="1"/>
  <c r="E105" i="14"/>
  <c r="E105" i="11" s="1"/>
  <c r="D105" i="11"/>
  <c r="C105" i="14"/>
  <c r="C105" i="11" s="1"/>
  <c r="I104" i="11"/>
  <c r="H104" i="14"/>
  <c r="H104" i="11" s="1"/>
  <c r="G104" i="11"/>
  <c r="F104" i="14"/>
  <c r="F104" i="11" s="1"/>
  <c r="E104" i="14"/>
  <c r="E104" i="11" s="1"/>
  <c r="D104" i="11"/>
  <c r="C104" i="14"/>
  <c r="C104" i="11" s="1"/>
  <c r="I103" i="11"/>
  <c r="H103" i="14"/>
  <c r="H103" i="11" s="1"/>
  <c r="G103" i="11"/>
  <c r="F103" i="14"/>
  <c r="F103" i="11" s="1"/>
  <c r="E103" i="14"/>
  <c r="E103" i="11" s="1"/>
  <c r="D103" i="11"/>
  <c r="C103" i="14"/>
  <c r="C103" i="11" s="1"/>
  <c r="I102" i="11"/>
  <c r="H102" i="14"/>
  <c r="H102" i="11" s="1"/>
  <c r="G102" i="11"/>
  <c r="F102" i="14"/>
  <c r="F102" i="11" s="1"/>
  <c r="E102" i="14"/>
  <c r="E102" i="11" s="1"/>
  <c r="D102" i="11"/>
  <c r="C102" i="14"/>
  <c r="C102" i="11" s="1"/>
  <c r="I101" i="11"/>
  <c r="H101" i="14"/>
  <c r="H101" i="11" s="1"/>
  <c r="G101" i="11"/>
  <c r="F101" i="14"/>
  <c r="F101" i="11" s="1"/>
  <c r="E101" i="14"/>
  <c r="E101" i="11" s="1"/>
  <c r="D101" i="11"/>
  <c r="C101" i="14"/>
  <c r="C101" i="11" s="1"/>
  <c r="I100" i="11"/>
  <c r="H100" i="14"/>
  <c r="H100" i="11" s="1"/>
  <c r="G100" i="11"/>
  <c r="F100" i="14"/>
  <c r="F100" i="11" s="1"/>
  <c r="E100" i="14"/>
  <c r="E100" i="11" s="1"/>
  <c r="D100" i="11"/>
  <c r="C100" i="14"/>
  <c r="C100" i="11" s="1"/>
  <c r="I99" i="11"/>
  <c r="H99" i="14"/>
  <c r="H99" i="11" s="1"/>
  <c r="G99" i="11"/>
  <c r="F99" i="14"/>
  <c r="F99" i="11" s="1"/>
  <c r="E99" i="14"/>
  <c r="E99" i="11" s="1"/>
  <c r="D99" i="11"/>
  <c r="C99" i="14"/>
  <c r="C99" i="11" s="1"/>
  <c r="I98" i="11"/>
  <c r="H98" i="14"/>
  <c r="H98" i="11" s="1"/>
  <c r="G98" i="11"/>
  <c r="F98" i="14"/>
  <c r="F98" i="11" s="1"/>
  <c r="E98" i="14"/>
  <c r="E98" i="11" s="1"/>
  <c r="D98" i="11"/>
  <c r="C98" i="14"/>
  <c r="C98" i="11" s="1"/>
  <c r="I97" i="11"/>
  <c r="H97" i="14"/>
  <c r="H97" i="11" s="1"/>
  <c r="G97" i="11"/>
  <c r="F97" i="14"/>
  <c r="F97" i="11" s="1"/>
  <c r="E97" i="14"/>
  <c r="E97" i="11" s="1"/>
  <c r="D97" i="11"/>
  <c r="C97" i="14"/>
  <c r="C97" i="11" s="1"/>
  <c r="I96" i="11"/>
  <c r="H96" i="14"/>
  <c r="H96" i="11" s="1"/>
  <c r="G96" i="11"/>
  <c r="F96" i="14"/>
  <c r="F96" i="11" s="1"/>
  <c r="E96" i="14"/>
  <c r="E96" i="11" s="1"/>
  <c r="D96" i="11"/>
  <c r="C96" i="14"/>
  <c r="C96" i="11" s="1"/>
  <c r="I95" i="11"/>
  <c r="H95" i="14"/>
  <c r="H95" i="11" s="1"/>
  <c r="G95" i="11"/>
  <c r="F95" i="14"/>
  <c r="F95" i="11" s="1"/>
  <c r="E95" i="14"/>
  <c r="E95" i="11" s="1"/>
  <c r="D95" i="11"/>
  <c r="C95" i="14"/>
  <c r="C95" i="11" s="1"/>
  <c r="I94" i="11"/>
  <c r="H94" i="14"/>
  <c r="H94" i="11" s="1"/>
  <c r="G94" i="11"/>
  <c r="F94" i="14"/>
  <c r="F94" i="11" s="1"/>
  <c r="E94" i="14"/>
  <c r="E94" i="11" s="1"/>
  <c r="D94" i="11"/>
  <c r="C94" i="14"/>
  <c r="C94" i="11" s="1"/>
  <c r="I93" i="11"/>
  <c r="H93" i="14"/>
  <c r="H93" i="11" s="1"/>
  <c r="G93" i="11"/>
  <c r="F93" i="14"/>
  <c r="F93" i="11" s="1"/>
  <c r="E93" i="14"/>
  <c r="E93" i="11" s="1"/>
  <c r="D93" i="11"/>
  <c r="C93" i="14"/>
  <c r="C93" i="11" s="1"/>
  <c r="I92" i="11"/>
  <c r="H92" i="14"/>
  <c r="H92" i="11" s="1"/>
  <c r="G92" i="11"/>
  <c r="F92" i="14"/>
  <c r="F92" i="11" s="1"/>
  <c r="E92" i="14"/>
  <c r="E92" i="11" s="1"/>
  <c r="D92" i="11"/>
  <c r="C92" i="14"/>
  <c r="C92" i="11" s="1"/>
  <c r="I91" i="11"/>
  <c r="H91" i="14"/>
  <c r="H91" i="11" s="1"/>
  <c r="G91" i="11"/>
  <c r="F91" i="14"/>
  <c r="F91" i="11" s="1"/>
  <c r="E91" i="14"/>
  <c r="E91" i="11" s="1"/>
  <c r="D91" i="11"/>
  <c r="C91" i="14"/>
  <c r="C91" i="11" s="1"/>
  <c r="I90" i="11"/>
  <c r="H90" i="14"/>
  <c r="H90" i="11" s="1"/>
  <c r="G90" i="11"/>
  <c r="F90" i="14"/>
  <c r="F90" i="11" s="1"/>
  <c r="E90" i="14"/>
  <c r="E90" i="11" s="1"/>
  <c r="D90" i="11"/>
  <c r="C90" i="14"/>
  <c r="C90" i="11" s="1"/>
  <c r="I89" i="11"/>
  <c r="H89" i="14"/>
  <c r="H89" i="11" s="1"/>
  <c r="G89" i="11"/>
  <c r="F89" i="14"/>
  <c r="F89" i="11" s="1"/>
  <c r="E89" i="14"/>
  <c r="E89" i="11" s="1"/>
  <c r="D89" i="11"/>
  <c r="C89" i="14"/>
  <c r="C89" i="11" s="1"/>
  <c r="I88" i="11"/>
  <c r="H88" i="14"/>
  <c r="H88" i="11" s="1"/>
  <c r="G88" i="11"/>
  <c r="F88" i="14"/>
  <c r="F88" i="11" s="1"/>
  <c r="E88" i="14"/>
  <c r="E88" i="11" s="1"/>
  <c r="D88" i="11"/>
  <c r="C88" i="14"/>
  <c r="C88" i="11" s="1"/>
  <c r="I87" i="11"/>
  <c r="H87" i="14"/>
  <c r="H87" i="11" s="1"/>
  <c r="G87" i="11"/>
  <c r="F87" i="14"/>
  <c r="F87" i="11" s="1"/>
  <c r="E87" i="14"/>
  <c r="E87" i="11" s="1"/>
  <c r="D87" i="11"/>
  <c r="C87" i="14"/>
  <c r="C87" i="11" s="1"/>
  <c r="I86" i="11"/>
  <c r="H86" i="14"/>
  <c r="H86" i="11" s="1"/>
  <c r="G86" i="11"/>
  <c r="F86" i="14"/>
  <c r="F86" i="11" s="1"/>
  <c r="E86" i="14"/>
  <c r="E86" i="11" s="1"/>
  <c r="D86" i="11"/>
  <c r="C86" i="14"/>
  <c r="C86" i="11" s="1"/>
  <c r="I85" i="11"/>
  <c r="H85" i="14"/>
  <c r="H85" i="11" s="1"/>
  <c r="G85" i="11"/>
  <c r="E85" i="14"/>
  <c r="E85" i="11" s="1"/>
  <c r="D85" i="11"/>
  <c r="C85" i="14"/>
  <c r="C85" i="11" s="1"/>
  <c r="I84" i="11"/>
  <c r="H84" i="14"/>
  <c r="H84" i="11" s="1"/>
  <c r="G84" i="11"/>
  <c r="E84" i="14"/>
  <c r="E84" i="11" s="1"/>
  <c r="D84" i="11"/>
  <c r="C84" i="14"/>
  <c r="C84" i="11" s="1"/>
  <c r="I83" i="11"/>
  <c r="H83" i="14"/>
  <c r="H83" i="11" s="1"/>
  <c r="G83" i="11"/>
  <c r="E83" i="14"/>
  <c r="E83" i="11" s="1"/>
  <c r="D83" i="11"/>
  <c r="C83" i="14"/>
  <c r="C83" i="11" s="1"/>
  <c r="I82" i="11"/>
  <c r="H82" i="14"/>
  <c r="H82" i="11" s="1"/>
  <c r="G82" i="11"/>
  <c r="E82" i="14"/>
  <c r="E82" i="11" s="1"/>
  <c r="D82" i="11"/>
  <c r="C82" i="14"/>
  <c r="C82" i="11" s="1"/>
  <c r="I81" i="11"/>
  <c r="H81" i="14"/>
  <c r="H81" i="11" s="1"/>
  <c r="G81" i="11"/>
  <c r="E81" i="14"/>
  <c r="E81" i="11" s="1"/>
  <c r="D81" i="11"/>
  <c r="C81" i="14"/>
  <c r="C81" i="11" s="1"/>
  <c r="I80" i="11"/>
  <c r="H80" i="14"/>
  <c r="H80" i="11" s="1"/>
  <c r="G80" i="11"/>
  <c r="E80" i="14"/>
  <c r="E80" i="11" s="1"/>
  <c r="D80" i="11"/>
  <c r="C80" i="14"/>
  <c r="C80" i="11" s="1"/>
  <c r="I79" i="11"/>
  <c r="H79" i="14"/>
  <c r="H79" i="11" s="1"/>
  <c r="G79" i="11"/>
  <c r="E79" i="14"/>
  <c r="E79" i="11" s="1"/>
  <c r="D79" i="11"/>
  <c r="C79" i="14"/>
  <c r="C79" i="11" s="1"/>
  <c r="I78" i="11"/>
  <c r="H78" i="14"/>
  <c r="H78" i="11" s="1"/>
  <c r="G78" i="11"/>
  <c r="E78" i="14"/>
  <c r="E78" i="11" s="1"/>
  <c r="D78" i="11"/>
  <c r="C78" i="14"/>
  <c r="C78" i="11" s="1"/>
  <c r="I77" i="11"/>
  <c r="H77" i="14"/>
  <c r="H77" i="11" s="1"/>
  <c r="G77" i="11"/>
  <c r="E77" i="14"/>
  <c r="E77" i="11" s="1"/>
  <c r="D77" i="11"/>
  <c r="C77" i="14"/>
  <c r="C77" i="11" s="1"/>
  <c r="I76" i="11"/>
  <c r="H76" i="14"/>
  <c r="H76" i="11" s="1"/>
  <c r="G76" i="11"/>
  <c r="E76" i="14"/>
  <c r="E76" i="11" s="1"/>
  <c r="D76" i="11"/>
  <c r="C76" i="14"/>
  <c r="C76" i="11" s="1"/>
  <c r="I75" i="11"/>
  <c r="H75" i="14"/>
  <c r="H75" i="11" s="1"/>
  <c r="G75" i="11"/>
  <c r="E75" i="14"/>
  <c r="E75" i="11" s="1"/>
  <c r="D75" i="11"/>
  <c r="C75" i="14"/>
  <c r="C75" i="11" s="1"/>
  <c r="I74" i="11"/>
  <c r="H74" i="14"/>
  <c r="H74" i="11" s="1"/>
  <c r="G74" i="11"/>
  <c r="E74" i="14"/>
  <c r="E74" i="11" s="1"/>
  <c r="D74" i="11"/>
  <c r="C74" i="14"/>
  <c r="C74" i="11" s="1"/>
  <c r="I73" i="11"/>
  <c r="H73" i="14"/>
  <c r="H73" i="11" s="1"/>
  <c r="G73" i="11"/>
  <c r="E73" i="14"/>
  <c r="E73" i="11" s="1"/>
  <c r="D73" i="11"/>
  <c r="C73" i="14"/>
  <c r="C73" i="11" s="1"/>
  <c r="I72" i="11"/>
  <c r="H72" i="14"/>
  <c r="H72" i="11" s="1"/>
  <c r="G72" i="11"/>
  <c r="E72" i="14"/>
  <c r="E72" i="11" s="1"/>
  <c r="D72" i="11"/>
  <c r="C72" i="14"/>
  <c r="C72" i="11" s="1"/>
  <c r="I71" i="11"/>
  <c r="H71" i="14"/>
  <c r="H71" i="11" s="1"/>
  <c r="G71" i="11"/>
  <c r="E71" i="14"/>
  <c r="E71" i="11" s="1"/>
  <c r="D71" i="11"/>
  <c r="C71" i="14"/>
  <c r="C71" i="11" s="1"/>
  <c r="I70" i="11"/>
  <c r="H70" i="14"/>
  <c r="H70" i="11" s="1"/>
  <c r="G70" i="11"/>
  <c r="E70" i="14"/>
  <c r="E70" i="11" s="1"/>
  <c r="D70" i="11"/>
  <c r="C70" i="14"/>
  <c r="C70" i="11" s="1"/>
  <c r="I69" i="11"/>
  <c r="H69" i="14"/>
  <c r="H69" i="11" s="1"/>
  <c r="G69" i="11"/>
  <c r="E69" i="14"/>
  <c r="E69" i="11" s="1"/>
  <c r="D69" i="11"/>
  <c r="C69" i="14"/>
  <c r="C69" i="11" s="1"/>
  <c r="I68" i="11"/>
  <c r="H68" i="14"/>
  <c r="H68" i="11" s="1"/>
  <c r="G68" i="11"/>
  <c r="E68" i="14"/>
  <c r="E68" i="11" s="1"/>
  <c r="D68" i="11"/>
  <c r="C68" i="14"/>
  <c r="C68" i="11" s="1"/>
  <c r="I67" i="11"/>
  <c r="H67" i="14"/>
  <c r="H67" i="11" s="1"/>
  <c r="G67" i="11"/>
  <c r="E67" i="14"/>
  <c r="E67" i="11" s="1"/>
  <c r="D67" i="11"/>
  <c r="C67" i="14"/>
  <c r="C67" i="11" s="1"/>
  <c r="I66" i="11"/>
  <c r="H66" i="14"/>
  <c r="H66" i="11" s="1"/>
  <c r="G66" i="11"/>
  <c r="E66" i="14"/>
  <c r="E66" i="11" s="1"/>
  <c r="D66" i="11"/>
  <c r="C66" i="14"/>
  <c r="C66" i="11" s="1"/>
  <c r="A5" i="27"/>
  <c r="A6" i="26"/>
  <c r="BB26" i="7"/>
  <c r="BA26" i="7"/>
  <c r="AY26" i="7"/>
  <c r="AX26" i="7"/>
  <c r="AW26" i="7"/>
  <c r="AV26" i="7"/>
  <c r="BB25" i="7"/>
  <c r="BA25" i="7"/>
  <c r="AY25" i="7"/>
  <c r="AX25" i="7"/>
  <c r="AW25" i="7"/>
  <c r="AV25" i="7"/>
  <c r="BB24" i="7"/>
  <c r="BA24" i="7"/>
  <c r="AY24" i="7"/>
  <c r="AX24" i="7"/>
  <c r="AW24" i="7"/>
  <c r="AV24" i="7"/>
  <c r="BB23" i="7"/>
  <c r="BA23" i="7"/>
  <c r="AY23" i="7"/>
  <c r="AX23" i="7"/>
  <c r="AW23" i="7"/>
  <c r="AV23" i="7"/>
  <c r="BB22" i="7"/>
  <c r="BA22" i="7"/>
  <c r="AY22" i="7"/>
  <c r="AX22" i="7"/>
  <c r="AW22" i="7"/>
  <c r="AV22" i="7"/>
  <c r="BB21" i="7"/>
  <c r="BA21" i="7"/>
  <c r="AY21" i="7"/>
  <c r="AX21" i="7"/>
  <c r="AW21" i="7"/>
  <c r="AV21" i="7"/>
  <c r="BB20" i="7"/>
  <c r="BA20" i="7"/>
  <c r="AY20" i="7"/>
  <c r="AX20" i="7"/>
  <c r="AW20" i="7"/>
  <c r="AV20" i="7"/>
  <c r="BB19" i="7"/>
  <c r="BA19" i="7"/>
  <c r="AY19" i="7"/>
  <c r="AX19" i="7"/>
  <c r="AW19" i="7"/>
  <c r="AV19" i="7"/>
  <c r="BB18" i="7"/>
  <c r="BA18" i="7"/>
  <c r="AY18" i="7"/>
  <c r="AX18" i="7"/>
  <c r="AW18" i="7"/>
  <c r="AV18" i="7"/>
  <c r="BB17" i="7"/>
  <c r="BA17" i="7"/>
  <c r="AY17" i="7"/>
  <c r="AX17" i="7"/>
  <c r="AW17" i="7"/>
  <c r="AV17" i="7"/>
  <c r="BB15" i="7"/>
  <c r="BA15" i="7"/>
  <c r="AY15" i="7"/>
  <c r="AX15" i="7"/>
  <c r="AW15" i="7"/>
  <c r="AV15" i="7"/>
  <c r="AT15" i="7"/>
  <c r="AS15" i="7"/>
  <c r="AR15" i="7"/>
  <c r="AQ15" i="7"/>
  <c r="AO15" i="7"/>
  <c r="AN15" i="7"/>
  <c r="AL15" i="7"/>
  <c r="AK15" i="7"/>
  <c r="AI15" i="7"/>
  <c r="AH15" i="7"/>
  <c r="AG15" i="7"/>
  <c r="AF15" i="7"/>
  <c r="AD15" i="7"/>
  <c r="AC15" i="7"/>
  <c r="AB15" i="7"/>
  <c r="AA15" i="7"/>
  <c r="Y15" i="7"/>
  <c r="X15" i="7"/>
  <c r="W15" i="7"/>
  <c r="V15" i="7"/>
  <c r="T15" i="7"/>
  <c r="S15" i="7"/>
  <c r="R15" i="7"/>
  <c r="BB14" i="7"/>
  <c r="BA14" i="7"/>
  <c r="AY14" i="7"/>
  <c r="AX14" i="7"/>
  <c r="AW14" i="7"/>
  <c r="AV14" i="7"/>
  <c r="AT14" i="7"/>
  <c r="AS14" i="7"/>
  <c r="AR14" i="7"/>
  <c r="AQ14" i="7"/>
  <c r="AO14" i="7"/>
  <c r="AN14" i="7"/>
  <c r="AL14" i="7"/>
  <c r="AK14" i="7"/>
  <c r="AI14" i="7"/>
  <c r="AH14" i="7"/>
  <c r="AG14" i="7"/>
  <c r="AF14" i="7"/>
  <c r="AD14" i="7"/>
  <c r="AC14" i="7"/>
  <c r="AB14" i="7"/>
  <c r="AA14" i="7"/>
  <c r="Y14" i="7"/>
  <c r="X14" i="7"/>
  <c r="W14" i="7"/>
  <c r="V14" i="7"/>
  <c r="T14" i="7"/>
  <c r="S14" i="7"/>
  <c r="R14" i="7"/>
  <c r="BB13" i="7"/>
  <c r="BA13" i="7"/>
  <c r="AY13" i="7"/>
  <c r="AX13" i="7"/>
  <c r="AW13" i="7"/>
  <c r="AV13" i="7"/>
  <c r="AT13" i="7"/>
  <c r="AS13" i="7"/>
  <c r="AR13" i="7"/>
  <c r="AQ13" i="7"/>
  <c r="AO13" i="7"/>
  <c r="AN13" i="7"/>
  <c r="AL13" i="7"/>
  <c r="AK13" i="7"/>
  <c r="AI13" i="7"/>
  <c r="AH13" i="7"/>
  <c r="AG13" i="7"/>
  <c r="AF13" i="7"/>
  <c r="AD13" i="7"/>
  <c r="AC13" i="7"/>
  <c r="AB13" i="7"/>
  <c r="AA13" i="7"/>
  <c r="Y13" i="7"/>
  <c r="X13" i="7"/>
  <c r="W13" i="7"/>
  <c r="V13" i="7"/>
  <c r="T13" i="7"/>
  <c r="S13" i="7"/>
  <c r="R13" i="7"/>
  <c r="BB12" i="7"/>
  <c r="BA12" i="7"/>
  <c r="AY12" i="7"/>
  <c r="AX12" i="7"/>
  <c r="AW12" i="7"/>
  <c r="AV12" i="7"/>
  <c r="AT12" i="7"/>
  <c r="AS12" i="7"/>
  <c r="AR12" i="7"/>
  <c r="AQ12" i="7"/>
  <c r="AO12" i="7"/>
  <c r="AN12" i="7"/>
  <c r="AL12" i="7"/>
  <c r="AK12" i="7"/>
  <c r="AI12" i="7"/>
  <c r="AH12" i="7"/>
  <c r="AG12" i="7"/>
  <c r="AF12" i="7"/>
  <c r="AD12" i="7"/>
  <c r="AC12" i="7"/>
  <c r="AB12" i="7"/>
  <c r="AA12" i="7"/>
  <c r="Y12" i="7"/>
  <c r="X12" i="7"/>
  <c r="W12" i="7"/>
  <c r="V12" i="7"/>
  <c r="T12" i="7"/>
  <c r="S12" i="7"/>
  <c r="R12" i="7"/>
  <c r="BB11" i="7"/>
  <c r="BA11" i="7"/>
  <c r="AY11" i="7"/>
  <c r="AX11" i="7"/>
  <c r="AW11" i="7"/>
  <c r="AV11" i="7"/>
  <c r="AT11" i="7"/>
  <c r="AS11" i="7"/>
  <c r="AR11" i="7"/>
  <c r="AQ11" i="7"/>
  <c r="AO11" i="7"/>
  <c r="AN11" i="7"/>
  <c r="AL11" i="7"/>
  <c r="AK11" i="7"/>
  <c r="AI11" i="7"/>
  <c r="AH11" i="7"/>
  <c r="AG11" i="7"/>
  <c r="AF11" i="7"/>
  <c r="AD11" i="7"/>
  <c r="AC11" i="7"/>
  <c r="AB11" i="7"/>
  <c r="AA11" i="7"/>
  <c r="Y11" i="7"/>
  <c r="X11" i="7"/>
  <c r="W11" i="7"/>
  <c r="V11" i="7"/>
  <c r="T11" i="7"/>
  <c r="S11" i="7"/>
  <c r="R11" i="7"/>
  <c r="BB10" i="7"/>
  <c r="BA10" i="7"/>
  <c r="AY10" i="7"/>
  <c r="AX10" i="7"/>
  <c r="AW10" i="7"/>
  <c r="AV10" i="7"/>
  <c r="AT10" i="7"/>
  <c r="AS10" i="7"/>
  <c r="AR10" i="7"/>
  <c r="AQ10" i="7"/>
  <c r="AO10" i="7"/>
  <c r="AN10" i="7"/>
  <c r="AL10" i="7"/>
  <c r="AK10" i="7"/>
  <c r="AI10" i="7"/>
  <c r="AH10" i="7"/>
  <c r="AG10" i="7"/>
  <c r="AF10" i="7"/>
  <c r="AD10" i="7"/>
  <c r="AC10" i="7"/>
  <c r="AB10" i="7"/>
  <c r="AA10" i="7"/>
  <c r="Y10" i="7"/>
  <c r="X10" i="7"/>
  <c r="W10" i="7"/>
  <c r="V10" i="7"/>
  <c r="T10" i="7"/>
  <c r="S10" i="7"/>
  <c r="R10" i="7"/>
  <c r="BB9" i="7"/>
  <c r="BA9" i="7"/>
  <c r="AY9" i="7"/>
  <c r="AX9" i="7"/>
  <c r="AW9" i="7"/>
  <c r="AV9" i="7"/>
  <c r="AT9" i="7"/>
  <c r="AS9" i="7"/>
  <c r="AR9" i="7"/>
  <c r="AQ9" i="7"/>
  <c r="AO9" i="7"/>
  <c r="AN9" i="7"/>
  <c r="AL9" i="7"/>
  <c r="AK9" i="7"/>
  <c r="AI9" i="7"/>
  <c r="AH9" i="7"/>
  <c r="AG9" i="7"/>
  <c r="AF9" i="7"/>
  <c r="AD9" i="7"/>
  <c r="AC9" i="7"/>
  <c r="AB9" i="7"/>
  <c r="AA9" i="7"/>
  <c r="Y9" i="7"/>
  <c r="X9" i="7"/>
  <c r="W9" i="7"/>
  <c r="V9" i="7"/>
  <c r="T9" i="7"/>
  <c r="S9" i="7"/>
  <c r="R9" i="7"/>
  <c r="BB8" i="7"/>
  <c r="BA8" i="7"/>
  <c r="AY8" i="7"/>
  <c r="AX8" i="7"/>
  <c r="AW8" i="7"/>
  <c r="AV8" i="7"/>
  <c r="AT8" i="7"/>
  <c r="AS8" i="7"/>
  <c r="AR8" i="7"/>
  <c r="AQ8" i="7"/>
  <c r="AO8" i="7"/>
  <c r="AN8" i="7"/>
  <c r="AL8" i="7"/>
  <c r="AK8" i="7"/>
  <c r="AI8" i="7"/>
  <c r="AH8" i="7"/>
  <c r="AG8" i="7"/>
  <c r="AF8" i="7"/>
  <c r="AD8" i="7"/>
  <c r="AC8" i="7"/>
  <c r="AB8" i="7"/>
  <c r="AA8" i="7"/>
  <c r="Y8" i="7"/>
  <c r="X8" i="7"/>
  <c r="W8" i="7"/>
  <c r="V8" i="7"/>
  <c r="T8" i="7"/>
  <c r="S8" i="7"/>
  <c r="R8" i="7"/>
  <c r="BB7" i="7"/>
  <c r="BA7" i="7"/>
  <c r="AY7" i="7"/>
  <c r="AX7" i="7"/>
  <c r="AW7" i="7"/>
  <c r="AV7" i="7"/>
  <c r="AT7" i="7"/>
  <c r="AS7" i="7"/>
  <c r="AR7" i="7"/>
  <c r="AQ7" i="7"/>
  <c r="AO7" i="7"/>
  <c r="AN7" i="7"/>
  <c r="AL7" i="7"/>
  <c r="AK7" i="7"/>
  <c r="AI7" i="7"/>
  <c r="AH7" i="7"/>
  <c r="AG7" i="7"/>
  <c r="AF7" i="7"/>
  <c r="AD7" i="7"/>
  <c r="AC7" i="7"/>
  <c r="AB7" i="7"/>
  <c r="AA7" i="7"/>
  <c r="Y7" i="7"/>
  <c r="X7" i="7"/>
  <c r="W7" i="7"/>
  <c r="V7" i="7"/>
  <c r="T7" i="7"/>
  <c r="S7" i="7"/>
  <c r="R7" i="7"/>
  <c r="BB6" i="7"/>
  <c r="BA6" i="7"/>
  <c r="AY6" i="7"/>
  <c r="AX6" i="7"/>
  <c r="AW6" i="7"/>
  <c r="AV6" i="7"/>
  <c r="AT6" i="7"/>
  <c r="AS6" i="7"/>
  <c r="AR6" i="7"/>
  <c r="AQ6" i="7"/>
  <c r="AO6" i="7"/>
  <c r="AN6" i="7"/>
  <c r="AL6" i="7"/>
  <c r="AK6" i="7"/>
  <c r="AI6" i="7"/>
  <c r="AH6" i="7"/>
  <c r="AG6" i="7"/>
  <c r="AF6" i="7"/>
  <c r="AD6" i="7"/>
  <c r="AC6" i="7"/>
  <c r="AB6" i="7"/>
  <c r="AA6" i="7"/>
  <c r="Y6" i="7"/>
  <c r="X6" i="7"/>
  <c r="W6" i="7"/>
  <c r="V6" i="7"/>
  <c r="T6" i="7"/>
  <c r="S6" i="7"/>
  <c r="R6" i="7"/>
  <c r="H25" i="1" l="1"/>
  <c r="H29" i="1"/>
  <c r="H26" i="1"/>
  <c r="H30" i="1"/>
  <c r="H27" i="1"/>
  <c r="H24" i="1"/>
  <c r="H28" i="1"/>
  <c r="H23" i="1"/>
  <c r="G27" i="14"/>
  <c r="G27" i="11" s="1"/>
  <c r="G112" i="11"/>
  <c r="C16" i="14"/>
  <c r="C16" i="11" s="1"/>
  <c r="H15" i="14"/>
  <c r="H15" i="11" s="1"/>
  <c r="H16" i="14"/>
  <c r="H16" i="11" s="1"/>
  <c r="H17" i="14"/>
  <c r="H17" i="11" s="1"/>
  <c r="H18" i="14"/>
  <c r="H18" i="11" s="1"/>
  <c r="H19" i="14"/>
  <c r="H19" i="11" s="1"/>
  <c r="H20" i="14"/>
  <c r="H20" i="11" s="1"/>
  <c r="D15" i="14"/>
  <c r="D15" i="11" s="1"/>
  <c r="I15" i="14"/>
  <c r="I15" i="11" s="1"/>
  <c r="D16" i="14"/>
  <c r="D16" i="11" s="1"/>
  <c r="I16" i="14"/>
  <c r="I16" i="11" s="1"/>
  <c r="D17" i="14"/>
  <c r="D17" i="11" s="1"/>
  <c r="I17" i="14"/>
  <c r="I17" i="11" s="1"/>
  <c r="D18" i="14"/>
  <c r="D18" i="11" s="1"/>
  <c r="I18" i="14"/>
  <c r="I18" i="11" s="1"/>
  <c r="D19" i="14"/>
  <c r="D19" i="11" s="1"/>
  <c r="I19" i="14"/>
  <c r="I19" i="11" s="1"/>
  <c r="D20" i="14"/>
  <c r="D20" i="11" s="1"/>
  <c r="I20" i="14"/>
  <c r="I20" i="11" s="1"/>
  <c r="E15" i="14"/>
  <c r="E15" i="11" s="1"/>
  <c r="E16" i="14"/>
  <c r="E16" i="11" s="1"/>
  <c r="E17" i="14"/>
  <c r="E17" i="11" s="1"/>
  <c r="E18" i="14"/>
  <c r="E18" i="11" s="1"/>
  <c r="E19" i="14"/>
  <c r="E19" i="11" s="1"/>
  <c r="E20" i="14"/>
  <c r="E20" i="11" s="1"/>
  <c r="G15" i="14"/>
  <c r="G15" i="11" s="1"/>
  <c r="G16" i="14"/>
  <c r="G16" i="11" s="1"/>
  <c r="G17" i="14"/>
  <c r="G17" i="11" s="1"/>
  <c r="G18" i="14"/>
  <c r="G18" i="11" s="1"/>
  <c r="G19" i="14"/>
  <c r="G19" i="11" s="1"/>
  <c r="G20" i="14"/>
  <c r="G20" i="11" s="1"/>
  <c r="F20" i="14"/>
  <c r="F20" i="11" s="1"/>
  <c r="B73" i="14"/>
  <c r="B73" i="11" s="1"/>
  <c r="B79" i="14"/>
  <c r="B79" i="11" s="1"/>
  <c r="B85" i="14"/>
  <c r="B85" i="11" s="1"/>
  <c r="B75" i="14"/>
  <c r="B75" i="11" s="1"/>
  <c r="B77" i="14"/>
  <c r="B77" i="11" s="1"/>
  <c r="B81" i="14"/>
  <c r="B81" i="11" s="1"/>
  <c r="B83" i="14"/>
  <c r="B83" i="11" s="1"/>
  <c r="B66" i="14"/>
  <c r="B66" i="11" s="1"/>
  <c r="B68" i="14"/>
  <c r="B68" i="11" s="1"/>
  <c r="B72" i="14"/>
  <c r="B72" i="11" s="1"/>
  <c r="B74" i="14"/>
  <c r="B74" i="11" s="1"/>
  <c r="B76" i="14"/>
  <c r="B76" i="11" s="1"/>
  <c r="B78" i="14"/>
  <c r="B78" i="11" s="1"/>
  <c r="B80" i="14"/>
  <c r="B80" i="11" s="1"/>
  <c r="B82" i="14"/>
  <c r="B82" i="11" s="1"/>
  <c r="B84" i="14"/>
  <c r="B84" i="11" s="1"/>
  <c r="B67" i="14"/>
  <c r="B67" i="11" s="1"/>
  <c r="B71" i="14"/>
  <c r="B71" i="11" s="1"/>
  <c r="B70" i="14"/>
  <c r="B70" i="11" s="1"/>
  <c r="B69" i="14"/>
  <c r="B69" i="11" s="1"/>
  <c r="H27" i="14"/>
  <c r="H27" i="11" s="1"/>
  <c r="C27" i="14"/>
  <c r="C27" i="11" s="1"/>
  <c r="I27" i="14"/>
  <c r="I27" i="11" s="1"/>
  <c r="D27" i="14"/>
  <c r="D27" i="11" s="1"/>
  <c r="I26" i="14"/>
  <c r="I26" i="11" s="1"/>
  <c r="E27" i="14"/>
  <c r="E27" i="11" s="1"/>
  <c r="F27" i="14"/>
  <c r="F27" i="11" s="1"/>
  <c r="J80" i="14" l="1"/>
  <c r="J72" i="14"/>
  <c r="J68" i="14"/>
  <c r="J84" i="14"/>
  <c r="J76" i="14"/>
  <c r="J66" i="14"/>
  <c r="J70" i="14"/>
  <c r="J67" i="14"/>
  <c r="J82" i="14"/>
  <c r="J78" i="14"/>
  <c r="J74" i="14"/>
  <c r="J83" i="14"/>
  <c r="J77" i="14"/>
  <c r="J85" i="14"/>
  <c r="J73" i="14"/>
  <c r="J69" i="14"/>
  <c r="J71" i="14"/>
  <c r="J81" i="14"/>
  <c r="J75" i="14"/>
  <c r="J79" i="14"/>
  <c r="B16" i="14"/>
  <c r="B16" i="11" s="1"/>
  <c r="B19" i="14"/>
  <c r="B19" i="11" s="1"/>
  <c r="B18" i="14"/>
  <c r="B18" i="11" s="1"/>
  <c r="B17" i="14"/>
  <c r="B17" i="11" s="1"/>
  <c r="B15" i="14"/>
  <c r="B15" i="11" s="1"/>
  <c r="J16" i="14" l="1"/>
  <c r="B113" i="14"/>
  <c r="B113" i="11" s="1"/>
  <c r="J113" i="14" l="1"/>
  <c r="B112" i="14"/>
  <c r="J112" i="14" l="1"/>
  <c r="B112" i="11"/>
  <c r="B27" i="14"/>
  <c r="J27" i="14" l="1"/>
  <c r="B27" i="11"/>
  <c r="B111" i="14"/>
  <c r="B111" i="11" s="1"/>
  <c r="J111" i="14" l="1"/>
  <c r="B110" i="14" l="1"/>
  <c r="J110" i="14" l="1"/>
  <c r="B110" i="11"/>
  <c r="B109" i="14" l="1"/>
  <c r="B109" i="11" s="1"/>
  <c r="J109" i="14" l="1"/>
  <c r="H26" i="14" l="1"/>
  <c r="H26" i="11" s="1"/>
  <c r="G26" i="14"/>
  <c r="G26" i="11" s="1"/>
  <c r="F26" i="14"/>
  <c r="F26" i="11" s="1"/>
  <c r="E26" i="14"/>
  <c r="E26" i="11" s="1"/>
  <c r="D26" i="14"/>
  <c r="D26" i="11" s="1"/>
  <c r="C26" i="14"/>
  <c r="C26" i="11" s="1"/>
  <c r="B108" i="14" l="1"/>
  <c r="B108" i="11" s="1"/>
  <c r="B26" i="14" l="1"/>
  <c r="J108" i="14"/>
  <c r="J26" i="14" l="1"/>
  <c r="B26" i="11"/>
  <c r="B107" i="14" l="1"/>
  <c r="J107" i="14" l="1"/>
  <c r="B107" i="11"/>
  <c r="B106" i="14" l="1"/>
  <c r="J106" i="14" l="1"/>
  <c r="B106" i="11"/>
  <c r="B105" i="14" l="1"/>
  <c r="B105" i="11" s="1"/>
  <c r="J105" i="14" l="1"/>
  <c r="I25" i="14" l="1"/>
  <c r="I25" i="11" s="1"/>
  <c r="H25" i="14"/>
  <c r="H25" i="11" s="1"/>
  <c r="G25" i="14"/>
  <c r="G25" i="11" s="1"/>
  <c r="F25" i="14"/>
  <c r="F25" i="11" s="1"/>
  <c r="E25" i="14"/>
  <c r="E25" i="11" s="1"/>
  <c r="D25" i="14"/>
  <c r="D25" i="11" s="1"/>
  <c r="C25" i="14"/>
  <c r="C25" i="11" s="1"/>
  <c r="B104" i="14" l="1"/>
  <c r="B104" i="11" s="1"/>
  <c r="B25" i="14" l="1"/>
  <c r="J104" i="14"/>
  <c r="B103" i="14"/>
  <c r="B103" i="11" s="1"/>
  <c r="J25" i="14" l="1"/>
  <c r="B25" i="11"/>
  <c r="J103" i="14"/>
  <c r="EX37" i="26" l="1"/>
  <c r="EX36" i="26"/>
  <c r="EX35" i="26"/>
  <c r="EX34" i="26"/>
  <c r="EX33" i="26"/>
  <c r="EX32" i="26"/>
  <c r="EX31" i="26"/>
  <c r="EX30" i="26"/>
  <c r="EX29" i="26"/>
  <c r="EX28" i="26"/>
  <c r="DA19" i="26" l="1"/>
  <c r="DA18" i="26"/>
  <c r="DA17" i="26"/>
  <c r="EW37" i="26" l="1"/>
  <c r="EW36" i="26"/>
  <c r="EW35" i="26"/>
  <c r="EW34" i="26"/>
  <c r="EW33" i="26"/>
  <c r="EW32" i="26"/>
  <c r="EW31" i="26"/>
  <c r="EW30" i="26"/>
  <c r="EW29" i="26"/>
  <c r="EW28" i="26"/>
  <c r="B102" i="14" l="1"/>
  <c r="J102" i="14" l="1"/>
  <c r="B102" i="11"/>
  <c r="DA10" i="26"/>
  <c r="EV35" i="26" l="1"/>
  <c r="DA13" i="26"/>
  <c r="EV31" i="26"/>
  <c r="DA9" i="26"/>
  <c r="EV28" i="26"/>
  <c r="DA6" i="26"/>
  <c r="EV36" i="26"/>
  <c r="DA14" i="26"/>
  <c r="EV30" i="26"/>
  <c r="DA8" i="26"/>
  <c r="EV34" i="26"/>
  <c r="DA12" i="26"/>
  <c r="EV29" i="26"/>
  <c r="DA7" i="26"/>
  <c r="EV33" i="26"/>
  <c r="DA11" i="26"/>
  <c r="EV37" i="26"/>
  <c r="DA15" i="26"/>
  <c r="EV32" i="26"/>
  <c r="B101" i="14" l="1"/>
  <c r="B100" i="14"/>
  <c r="G24" i="14"/>
  <c r="G24" i="11" s="1"/>
  <c r="I24" i="14"/>
  <c r="I24" i="11" s="1"/>
  <c r="H24" i="14"/>
  <c r="H24" i="11" s="1"/>
  <c r="E24" i="14"/>
  <c r="E24" i="11" s="1"/>
  <c r="C24" i="14"/>
  <c r="C24" i="11" s="1"/>
  <c r="D24" i="14"/>
  <c r="D24" i="11" s="1"/>
  <c r="F24" i="14"/>
  <c r="F24" i="11" s="1"/>
  <c r="J100" i="14" l="1"/>
  <c r="B100" i="11"/>
  <c r="J101" i="14"/>
  <c r="B101" i="11"/>
  <c r="B24" i="14"/>
  <c r="J24" i="14" l="1"/>
  <c r="B24" i="11"/>
  <c r="EX26" i="26"/>
  <c r="EX25" i="26"/>
  <c r="EX24" i="26"/>
  <c r="EX23" i="26"/>
  <c r="EX22" i="26"/>
  <c r="EX21" i="26"/>
  <c r="EX20" i="26"/>
  <c r="EX19" i="26"/>
  <c r="EX18" i="26"/>
  <c r="EX17" i="26"/>
  <c r="ET30" i="26" l="1"/>
  <c r="ET32" i="26"/>
  <c r="ET34" i="26"/>
  <c r="ET31" i="26"/>
  <c r="ET37" i="26"/>
  <c r="ET33" i="26"/>
  <c r="ET35" i="26"/>
  <c r="ET29" i="26"/>
  <c r="ET28" i="26"/>
  <c r="ET36" i="26"/>
  <c r="EW25" i="26" l="1"/>
  <c r="EW24" i="26"/>
  <c r="EW23" i="26"/>
  <c r="EW22" i="26"/>
  <c r="EW21" i="26"/>
  <c r="ES37" i="26" l="1"/>
  <c r="EW26" i="26"/>
  <c r="ES30" i="26"/>
  <c r="EW19" i="26"/>
  <c r="ES34" i="26"/>
  <c r="ES31" i="26"/>
  <c r="ES35" i="26"/>
  <c r="ES28" i="26"/>
  <c r="EW17" i="26"/>
  <c r="ES32" i="26"/>
  <c r="ES36" i="26"/>
  <c r="ES29" i="26"/>
  <c r="ES33" i="26"/>
  <c r="B99" i="14" l="1"/>
  <c r="B99" i="11" s="1"/>
  <c r="J99" i="14" l="1"/>
  <c r="CZ23" i="26"/>
  <c r="CZ22" i="26"/>
  <c r="CZ21" i="26"/>
  <c r="CZ19" i="26"/>
  <c r="ER37" i="26"/>
  <c r="EV25" i="26"/>
  <c r="EV24" i="26"/>
  <c r="EV23" i="26"/>
  <c r="EV22" i="26"/>
  <c r="EV21" i="26"/>
  <c r="ER29" i="26"/>
  <c r="EV17" i="26"/>
  <c r="ER31" i="26" l="1"/>
  <c r="EV20" i="26"/>
  <c r="ER34" i="26"/>
  <c r="ER35" i="26"/>
  <c r="ER30" i="26"/>
  <c r="ER28" i="26"/>
  <c r="ER32" i="26"/>
  <c r="ER36" i="26"/>
  <c r="ER33" i="26"/>
  <c r="B98" i="14" l="1"/>
  <c r="B98" i="11" s="1"/>
  <c r="J98" i="14" l="1"/>
  <c r="ET26" i="26"/>
  <c r="DA26" i="26" s="1"/>
  <c r="ET25" i="26"/>
  <c r="DA25" i="26" s="1"/>
  <c r="ET24" i="26"/>
  <c r="DA24" i="26" s="1"/>
  <c r="ET23" i="26"/>
  <c r="DA23" i="26" s="1"/>
  <c r="ET22" i="26"/>
  <c r="DA22" i="26" s="1"/>
  <c r="ET21" i="26"/>
  <c r="DA21" i="26" s="1"/>
  <c r="ET20" i="26"/>
  <c r="DA20" i="26" s="1"/>
  <c r="CZ6" i="26"/>
  <c r="CZ13" i="26" l="1"/>
  <c r="EQ35" i="26"/>
  <c r="CZ8" i="26"/>
  <c r="EQ30" i="26"/>
  <c r="CZ12" i="26"/>
  <c r="EQ34" i="26"/>
  <c r="CZ9" i="26"/>
  <c r="EQ31" i="26"/>
  <c r="EQ28" i="26"/>
  <c r="CZ10" i="26"/>
  <c r="EQ32" i="26"/>
  <c r="CZ14" i="26"/>
  <c r="EQ36" i="26"/>
  <c r="CZ7" i="26"/>
  <c r="EQ29" i="26"/>
  <c r="CZ11" i="26"/>
  <c r="EQ33" i="26"/>
  <c r="CZ15" i="26"/>
  <c r="EQ37" i="26"/>
  <c r="B97" i="14" l="1"/>
  <c r="B97" i="11" s="1"/>
  <c r="J97" i="14" l="1"/>
  <c r="H23" i="14" l="1"/>
  <c r="H23" i="11" s="1"/>
  <c r="G23" i="14"/>
  <c r="G23" i="11" s="1"/>
  <c r="F23" i="14"/>
  <c r="F23" i="11" s="1"/>
  <c r="D23" i="14"/>
  <c r="D23" i="11" s="1"/>
  <c r="C23" i="14"/>
  <c r="C23" i="11" s="1"/>
  <c r="E23" i="14" l="1"/>
  <c r="E23" i="11" s="1"/>
  <c r="I23" i="14"/>
  <c r="I23" i="11" s="1"/>
  <c r="B96" i="14"/>
  <c r="B96" i="11" s="1"/>
  <c r="B23" i="14" l="1"/>
  <c r="J96" i="14"/>
  <c r="J23" i="14" l="1"/>
  <c r="B23" i="11"/>
  <c r="ES26" i="26"/>
  <c r="ES24" i="26"/>
  <c r="EO34" i="26"/>
  <c r="ES21" i="26"/>
  <c r="ES20" i="26"/>
  <c r="EO28" i="26"/>
  <c r="EO30" i="26" l="1"/>
  <c r="ES19" i="26"/>
  <c r="EO35" i="26"/>
  <c r="EO32" i="26"/>
  <c r="EO36" i="26"/>
  <c r="EO29" i="26"/>
  <c r="EO33" i="26"/>
  <c r="EO37" i="26"/>
  <c r="EO31" i="26"/>
  <c r="B95" i="14"/>
  <c r="J95" i="14" l="1"/>
  <c r="B95" i="11"/>
  <c r="DT29" i="26"/>
  <c r="DT30" i="26"/>
  <c r="DT31" i="26"/>
  <c r="DT32" i="26"/>
  <c r="DT33" i="26"/>
  <c r="DT34" i="26"/>
  <c r="DT35" i="26"/>
  <c r="DT36" i="26"/>
  <c r="DT37" i="26"/>
  <c r="DT28" i="26"/>
  <c r="ER26" i="26" l="1"/>
  <c r="ER25" i="26"/>
  <c r="ER24" i="26"/>
  <c r="EN34" i="26"/>
  <c r="ER20" i="26"/>
  <c r="ER18" i="26"/>
  <c r="ER17" i="26"/>
  <c r="EN30" i="26" l="1"/>
  <c r="ER19" i="26"/>
  <c r="EN32" i="26"/>
  <c r="ER21" i="26"/>
  <c r="EN33" i="26"/>
  <c r="ER22" i="26"/>
  <c r="EN31" i="26"/>
  <c r="EN35" i="26"/>
  <c r="EN36" i="26"/>
  <c r="EN29" i="26"/>
  <c r="EN37" i="26"/>
  <c r="EN28" i="26"/>
  <c r="B94" i="14" l="1"/>
  <c r="J94" i="14" l="1"/>
  <c r="B94" i="11"/>
  <c r="EQ25" i="26" l="1"/>
  <c r="EQ24" i="26"/>
  <c r="EQ17" i="26"/>
  <c r="EM34" i="26" l="1"/>
  <c r="EM30" i="26"/>
  <c r="EQ19" i="26"/>
  <c r="EM32" i="26"/>
  <c r="EM33" i="26"/>
  <c r="EM31" i="26"/>
  <c r="EQ20" i="26"/>
  <c r="EM35" i="26"/>
  <c r="EM36" i="26"/>
  <c r="EM28" i="26"/>
  <c r="EM29" i="26"/>
  <c r="EQ18" i="26"/>
  <c r="EM37" i="26"/>
  <c r="F22" i="14" l="1"/>
  <c r="F22" i="11" s="1"/>
  <c r="C22" i="14"/>
  <c r="C22" i="11" s="1"/>
  <c r="G22" i="14"/>
  <c r="G22" i="11" s="1"/>
  <c r="D22" i="14"/>
  <c r="D22" i="11" s="1"/>
  <c r="H22" i="14"/>
  <c r="H22" i="11" s="1"/>
  <c r="E22" i="14"/>
  <c r="E22" i="11" s="1"/>
  <c r="I22" i="14"/>
  <c r="I22" i="11" s="1"/>
  <c r="B93" i="14" l="1"/>
  <c r="B93" i="11" s="1"/>
  <c r="B92" i="14"/>
  <c r="EO26" i="26"/>
  <c r="CZ26" i="26" s="1"/>
  <c r="EO25" i="26"/>
  <c r="CZ25" i="26" s="1"/>
  <c r="EO24" i="26"/>
  <c r="CZ24" i="26" s="1"/>
  <c r="EO20" i="26"/>
  <c r="CZ20" i="26" s="1"/>
  <c r="EO18" i="26"/>
  <c r="CZ18" i="26" s="1"/>
  <c r="EO17" i="26"/>
  <c r="CZ17" i="26" s="1"/>
  <c r="J92" i="14" l="1"/>
  <c r="B92" i="11"/>
  <c r="J93" i="14"/>
  <c r="B22" i="14"/>
  <c r="EL28" i="26"/>
  <c r="CY6" i="26"/>
  <c r="EL29" i="26"/>
  <c r="CY7" i="26"/>
  <c r="EL37" i="26"/>
  <c r="CY15" i="26"/>
  <c r="EL36" i="26"/>
  <c r="CY14" i="26"/>
  <c r="EL30" i="26"/>
  <c r="CY8" i="26"/>
  <c r="EL34" i="26"/>
  <c r="CY12" i="26"/>
  <c r="EL32" i="26"/>
  <c r="CY10" i="26"/>
  <c r="EL33" i="26"/>
  <c r="CY11" i="26"/>
  <c r="EL31" i="26"/>
  <c r="CY9" i="26"/>
  <c r="EL35" i="26"/>
  <c r="CY13" i="26"/>
  <c r="J22" i="14" l="1"/>
  <c r="B22" i="11"/>
  <c r="EN25" i="26"/>
  <c r="EN24" i="26"/>
  <c r="EJ34" i="26" l="1"/>
  <c r="EJ33" i="26"/>
  <c r="EN22" i="26"/>
  <c r="EJ31" i="26"/>
  <c r="EJ32" i="26"/>
  <c r="EN21" i="26"/>
  <c r="EJ36" i="26"/>
  <c r="EJ30" i="26"/>
  <c r="EJ35" i="26"/>
  <c r="EJ28" i="26"/>
  <c r="EJ29" i="26"/>
  <c r="EN18" i="26"/>
  <c r="EJ37" i="26"/>
  <c r="B91" i="14" l="1"/>
  <c r="B91" i="11" s="1"/>
  <c r="J91" i="14" l="1"/>
  <c r="EI30" i="26" l="1"/>
  <c r="EI31" i="26"/>
  <c r="EI34" i="26"/>
  <c r="EI35" i="26"/>
  <c r="EM24" i="26"/>
  <c r="EI28" i="26"/>
  <c r="EM17" i="26"/>
  <c r="EI32" i="26"/>
  <c r="EM21" i="26"/>
  <c r="EI36" i="26"/>
  <c r="EM25" i="26"/>
  <c r="EI29" i="26"/>
  <c r="EM18" i="26"/>
  <c r="EI33" i="26"/>
  <c r="EI37" i="26"/>
  <c r="EM26" i="26"/>
  <c r="B90" i="14" l="1"/>
  <c r="B90" i="11" s="1"/>
  <c r="J90" i="14" l="1"/>
  <c r="EL26" i="26"/>
  <c r="EL25" i="26"/>
  <c r="EL24" i="26"/>
  <c r="EL22" i="26"/>
  <c r="EL21" i="26"/>
  <c r="EL18" i="26"/>
  <c r="EL17" i="26"/>
  <c r="EH36" i="26" l="1"/>
  <c r="EH37" i="26"/>
  <c r="EH35" i="26"/>
  <c r="EH32" i="26"/>
  <c r="EH29" i="26"/>
  <c r="EH34" i="26"/>
  <c r="EH33" i="26"/>
  <c r="EH31" i="26"/>
  <c r="EH30" i="26"/>
  <c r="EH28" i="26"/>
  <c r="EJ24" i="26"/>
  <c r="CY24" i="26" s="1"/>
  <c r="EJ20" i="26"/>
  <c r="CY20" i="26" s="1"/>
  <c r="CX12" i="26" l="1"/>
  <c r="EJ23" i="26"/>
  <c r="CY23" i="26" s="1"/>
  <c r="CX6" i="26"/>
  <c r="CY17" i="26"/>
  <c r="CX10" i="26"/>
  <c r="EJ21" i="26"/>
  <c r="CY21" i="26" s="1"/>
  <c r="CX14" i="26"/>
  <c r="EJ25" i="26"/>
  <c r="CY25" i="26" s="1"/>
  <c r="CX7" i="26"/>
  <c r="EJ18" i="26"/>
  <c r="CY18" i="26" s="1"/>
  <c r="CX11" i="26"/>
  <c r="EJ22" i="26"/>
  <c r="CY22" i="26" s="1"/>
  <c r="CX15" i="26"/>
  <c r="EJ26" i="26"/>
  <c r="CY26" i="26" s="1"/>
  <c r="CX8" i="26"/>
  <c r="EJ19" i="26"/>
  <c r="CY19" i="26" s="1"/>
  <c r="EG37" i="26"/>
  <c r="CX9" i="26"/>
  <c r="EG31" i="26"/>
  <c r="CX13" i="26"/>
  <c r="EG35" i="26"/>
  <c r="EG33" i="26"/>
  <c r="EG36" i="26"/>
  <c r="EG34" i="26"/>
  <c r="EG29" i="26"/>
  <c r="EG32" i="26"/>
  <c r="EG30" i="26"/>
  <c r="EG28" i="26"/>
  <c r="ED4" i="26"/>
  <c r="EJ4" i="26" s="1"/>
  <c r="G21" i="14" l="1"/>
  <c r="G21" i="11" s="1"/>
  <c r="B89" i="14" l="1"/>
  <c r="B89" i="11" s="1"/>
  <c r="J89" i="14" l="1"/>
  <c r="I21" i="14"/>
  <c r="I21" i="11" s="1"/>
  <c r="H21" i="14"/>
  <c r="H21" i="11" s="1"/>
  <c r="D21" i="14" l="1"/>
  <c r="D21" i="11" s="1"/>
  <c r="E21" i="14"/>
  <c r="E21" i="11" s="1"/>
  <c r="C21" i="14"/>
  <c r="C21" i="11" s="1"/>
  <c r="F21" i="14"/>
  <c r="F21" i="11" s="1"/>
  <c r="B88" i="14"/>
  <c r="B88" i="11" s="1"/>
  <c r="J88" i="14" l="1"/>
  <c r="B21" i="14"/>
  <c r="EI26" i="26"/>
  <c r="EI25" i="26"/>
  <c r="EI24" i="26"/>
  <c r="EI23" i="26"/>
  <c r="EI22" i="26"/>
  <c r="EI21" i="26"/>
  <c r="EI20" i="26"/>
  <c r="EI19" i="26"/>
  <c r="EI18" i="26"/>
  <c r="EH26" i="26"/>
  <c r="EH23" i="26"/>
  <c r="EH22" i="26"/>
  <c r="EH21" i="26"/>
  <c r="EH19" i="26"/>
  <c r="EH18" i="26"/>
  <c r="EI17" i="26"/>
  <c r="J21" i="14" l="1"/>
  <c r="B21" i="11"/>
  <c r="EC31" i="26"/>
  <c r="EH20" i="26"/>
  <c r="EC35" i="26"/>
  <c r="EH24" i="26"/>
  <c r="ED30" i="26"/>
  <c r="ED34" i="26"/>
  <c r="ED31" i="26"/>
  <c r="ED35" i="26"/>
  <c r="ED32" i="26"/>
  <c r="ED36" i="26"/>
  <c r="ED29" i="26"/>
  <c r="ED33" i="26"/>
  <c r="ED37" i="26"/>
  <c r="EC28" i="26"/>
  <c r="ED28" i="26"/>
  <c r="EC32" i="26"/>
  <c r="EC36" i="26"/>
  <c r="EC29" i="26"/>
  <c r="EC33" i="26"/>
  <c r="EC37" i="26"/>
  <c r="EC30" i="26"/>
  <c r="EC34" i="26"/>
  <c r="EC4" i="26"/>
  <c r="EI4" i="26" s="1"/>
  <c r="B87" i="14" l="1"/>
  <c r="B87" i="11" s="1"/>
  <c r="J87" i="14" l="1"/>
  <c r="EB4" i="26"/>
  <c r="EH4" i="26" s="1"/>
  <c r="EG18" i="26" l="1"/>
  <c r="EB29" i="26" l="1"/>
  <c r="EA18" i="26"/>
  <c r="EB17" i="26"/>
  <c r="EB28" i="26" l="1"/>
  <c r="EG17" i="26"/>
  <c r="EG21" i="26"/>
  <c r="EB36" i="26" l="1"/>
  <c r="EG25" i="26"/>
  <c r="EB33" i="26"/>
  <c r="EG22" i="26"/>
  <c r="EB37" i="26"/>
  <c r="EG26" i="26"/>
  <c r="EB30" i="26"/>
  <c r="EG19" i="26"/>
  <c r="EB34" i="26"/>
  <c r="EG23" i="26"/>
  <c r="EB31" i="26"/>
  <c r="EG20" i="26"/>
  <c r="EB35" i="26"/>
  <c r="EG24" i="26"/>
  <c r="EB32" i="26"/>
  <c r="EA24" i="26"/>
  <c r="EA25" i="26"/>
  <c r="EA20" i="26"/>
  <c r="EA21" i="26"/>
  <c r="EA22" i="26"/>
  <c r="EA19" i="26"/>
  <c r="EA23" i="26"/>
  <c r="EA26" i="26"/>
  <c r="EA4" i="26"/>
  <c r="EG4" i="26" s="1"/>
  <c r="A49" i="26" l="1"/>
  <c r="DL41" i="26"/>
  <c r="DJ41" i="26"/>
  <c r="DI41" i="26"/>
  <c r="DH41" i="26"/>
  <c r="DG41" i="26"/>
  <c r="CO41" i="26"/>
  <c r="CH40" i="26"/>
  <c r="CG40" i="26"/>
  <c r="CF40" i="26"/>
  <c r="CE40" i="26"/>
  <c r="CC40" i="26"/>
  <c r="CB40" i="26"/>
  <c r="CA40" i="26"/>
  <c r="BZ40" i="26"/>
  <c r="BX40" i="26"/>
  <c r="BW40" i="26"/>
  <c r="BV40" i="26"/>
  <c r="BU40" i="26"/>
  <c r="BS40" i="26"/>
  <c r="BR40" i="26"/>
  <c r="BQ40" i="26"/>
  <c r="BP40" i="26"/>
  <c r="BN40" i="26"/>
  <c r="BM40" i="26"/>
  <c r="BL40" i="26"/>
  <c r="BK40" i="26"/>
  <c r="BI40" i="26"/>
  <c r="BH40" i="26"/>
  <c r="BG40" i="26"/>
  <c r="BF40" i="26"/>
  <c r="BD40" i="26"/>
  <c r="BC40" i="26"/>
  <c r="BB40" i="26"/>
  <c r="AD40" i="26"/>
  <c r="AC40" i="26"/>
  <c r="AB40" i="26"/>
  <c r="AA40" i="26"/>
  <c r="Y40" i="26"/>
  <c r="X40" i="26"/>
  <c r="W40" i="26"/>
  <c r="V40" i="26"/>
  <c r="T40" i="26"/>
  <c r="S40" i="26"/>
  <c r="R40" i="26"/>
  <c r="Q40" i="26"/>
  <c r="O40" i="26"/>
  <c r="N40" i="26"/>
  <c r="DV37" i="26"/>
  <c r="DU37" i="26"/>
  <c r="DS37" i="26"/>
  <c r="DR37" i="26"/>
  <c r="DQ37" i="26"/>
  <c r="DO37" i="26"/>
  <c r="DN37" i="26"/>
  <c r="DM37" i="26"/>
  <c r="DL37" i="26"/>
  <c r="DJ37" i="26"/>
  <c r="DI37" i="26"/>
  <c r="DH37" i="26"/>
  <c r="DG37" i="26"/>
  <c r="DE37" i="26"/>
  <c r="DD37" i="26"/>
  <c r="DC37" i="26"/>
  <c r="DB37" i="26"/>
  <c r="CV37" i="26"/>
  <c r="CU37" i="26"/>
  <c r="CT37" i="26"/>
  <c r="CS37" i="26"/>
  <c r="CQ37" i="26"/>
  <c r="CP37" i="26"/>
  <c r="CN37" i="26"/>
  <c r="DV36" i="26"/>
  <c r="DU36" i="26"/>
  <c r="DS36" i="26"/>
  <c r="DR36" i="26"/>
  <c r="DQ36" i="26"/>
  <c r="DO36" i="26"/>
  <c r="DN36" i="26"/>
  <c r="DM36" i="26"/>
  <c r="DL36" i="26"/>
  <c r="DJ36" i="26"/>
  <c r="DI36" i="26"/>
  <c r="DH36" i="26"/>
  <c r="DG36" i="26"/>
  <c r="DE36" i="26"/>
  <c r="DD36" i="26"/>
  <c r="DC36" i="26"/>
  <c r="DB36" i="26"/>
  <c r="CV36" i="26"/>
  <c r="CU36" i="26"/>
  <c r="CT36" i="26"/>
  <c r="CS36" i="26"/>
  <c r="CQ36" i="26"/>
  <c r="CP36" i="26"/>
  <c r="CN36" i="26"/>
  <c r="CH36" i="26"/>
  <c r="CG36" i="26"/>
  <c r="CF36" i="26"/>
  <c r="CE36" i="26"/>
  <c r="CC36" i="26"/>
  <c r="CB36" i="26"/>
  <c r="CA36" i="26"/>
  <c r="BZ36" i="26"/>
  <c r="BX36" i="26"/>
  <c r="BW36" i="26"/>
  <c r="BV36" i="26"/>
  <c r="BU36" i="26"/>
  <c r="BS36" i="26"/>
  <c r="BR36" i="26"/>
  <c r="BQ36" i="26"/>
  <c r="BP36" i="26"/>
  <c r="BN36" i="26"/>
  <c r="BM36" i="26"/>
  <c r="BL36" i="26"/>
  <c r="BK36" i="26"/>
  <c r="BI36" i="26"/>
  <c r="BH36" i="26"/>
  <c r="BG36" i="26"/>
  <c r="BF36" i="26"/>
  <c r="BD36" i="26"/>
  <c r="BC36" i="26"/>
  <c r="BB36" i="26"/>
  <c r="AD36" i="26"/>
  <c r="AC36" i="26"/>
  <c r="AB36" i="26"/>
  <c r="AA36" i="26"/>
  <c r="Y36" i="26"/>
  <c r="X36" i="26"/>
  <c r="W36" i="26"/>
  <c r="V36" i="26"/>
  <c r="T36" i="26"/>
  <c r="S36" i="26"/>
  <c r="R36" i="26"/>
  <c r="Q36" i="26"/>
  <c r="O36" i="26"/>
  <c r="N36" i="26"/>
  <c r="DV35" i="26"/>
  <c r="DU35" i="26"/>
  <c r="DS35" i="26"/>
  <c r="DR35" i="26"/>
  <c r="DQ35" i="26"/>
  <c r="DO35" i="26"/>
  <c r="DN35" i="26"/>
  <c r="DM35" i="26"/>
  <c r="DL35" i="26"/>
  <c r="DJ35" i="26"/>
  <c r="DI35" i="26"/>
  <c r="DH35" i="26"/>
  <c r="DG35" i="26"/>
  <c r="DE35" i="26"/>
  <c r="DD35" i="26"/>
  <c r="DC35" i="26"/>
  <c r="DB35" i="26"/>
  <c r="CV35" i="26"/>
  <c r="CU35" i="26"/>
  <c r="CT35" i="26"/>
  <c r="CS35" i="26"/>
  <c r="CQ35" i="26"/>
  <c r="CP35" i="26"/>
  <c r="CN35" i="26"/>
  <c r="CH35" i="26"/>
  <c r="CG35" i="26"/>
  <c r="CF35" i="26"/>
  <c r="CE35" i="26"/>
  <c r="CC35" i="26"/>
  <c r="CB35" i="26"/>
  <c r="CA35" i="26"/>
  <c r="BZ35" i="26"/>
  <c r="BX35" i="26"/>
  <c r="BW35" i="26"/>
  <c r="BV35" i="26"/>
  <c r="BU35" i="26"/>
  <c r="BS35" i="26"/>
  <c r="BR35" i="26"/>
  <c r="BQ35" i="26"/>
  <c r="BP35" i="26"/>
  <c r="BN35" i="26"/>
  <c r="BM35" i="26"/>
  <c r="BL35" i="26"/>
  <c r="BK35" i="26"/>
  <c r="BI35" i="26"/>
  <c r="BH35" i="26"/>
  <c r="BG35" i="26"/>
  <c r="BF35" i="26"/>
  <c r="BD35" i="26"/>
  <c r="BC35" i="26"/>
  <c r="BB35" i="26"/>
  <c r="AD35" i="26"/>
  <c r="AC35" i="26"/>
  <c r="AB35" i="26"/>
  <c r="AA35" i="26"/>
  <c r="Y35" i="26"/>
  <c r="X35" i="26"/>
  <c r="W35" i="26"/>
  <c r="V35" i="26"/>
  <c r="T35" i="26"/>
  <c r="S35" i="26"/>
  <c r="R35" i="26"/>
  <c r="Q35" i="26"/>
  <c r="O35" i="26"/>
  <c r="N35" i="26"/>
  <c r="DV34" i="26"/>
  <c r="DU34" i="26"/>
  <c r="DS34" i="26"/>
  <c r="DR34" i="26"/>
  <c r="DQ34" i="26"/>
  <c r="DO34" i="26"/>
  <c r="DN34" i="26"/>
  <c r="DM34" i="26"/>
  <c r="DL34" i="26"/>
  <c r="DJ34" i="26"/>
  <c r="DI34" i="26"/>
  <c r="DH34" i="26"/>
  <c r="DG34" i="26"/>
  <c r="DE34" i="26"/>
  <c r="DD34" i="26"/>
  <c r="DC34" i="26"/>
  <c r="DB34" i="26"/>
  <c r="CV34" i="26"/>
  <c r="CU34" i="26"/>
  <c r="CT34" i="26"/>
  <c r="CS34" i="26"/>
  <c r="CQ34" i="26"/>
  <c r="CP34" i="26"/>
  <c r="CN34" i="26"/>
  <c r="CH34" i="26"/>
  <c r="CG34" i="26"/>
  <c r="CF34" i="26"/>
  <c r="CE34" i="26"/>
  <c r="CC34" i="26"/>
  <c r="CB34" i="26"/>
  <c r="CA34" i="26"/>
  <c r="BZ34" i="26"/>
  <c r="BX34" i="26"/>
  <c r="BW34" i="26"/>
  <c r="BV34" i="26"/>
  <c r="BU34" i="26"/>
  <c r="BS34" i="26"/>
  <c r="BR34" i="26"/>
  <c r="BQ34" i="26"/>
  <c r="BP34" i="26"/>
  <c r="BN34" i="26"/>
  <c r="BM34" i="26"/>
  <c r="BL34" i="26"/>
  <c r="BK34" i="26"/>
  <c r="BI34" i="26"/>
  <c r="BH34" i="26"/>
  <c r="BG34" i="26"/>
  <c r="BF34" i="26"/>
  <c r="BD34" i="26"/>
  <c r="BC34" i="26"/>
  <c r="BB34" i="26"/>
  <c r="AD34" i="26"/>
  <c r="AC34" i="26"/>
  <c r="AB34" i="26"/>
  <c r="AA34" i="26"/>
  <c r="Y34" i="26"/>
  <c r="X34" i="26"/>
  <c r="W34" i="26"/>
  <c r="V34" i="26"/>
  <c r="T34" i="26"/>
  <c r="S34" i="26"/>
  <c r="R34" i="26"/>
  <c r="Q34" i="26"/>
  <c r="O34" i="26"/>
  <c r="N34" i="26"/>
  <c r="DV33" i="26"/>
  <c r="DU33" i="26"/>
  <c r="DS33" i="26"/>
  <c r="DR33" i="26"/>
  <c r="DQ33" i="26"/>
  <c r="DO33" i="26"/>
  <c r="DN33" i="26"/>
  <c r="DM33" i="26"/>
  <c r="DL33" i="26"/>
  <c r="DJ33" i="26"/>
  <c r="DI33" i="26"/>
  <c r="DH33" i="26"/>
  <c r="DG33" i="26"/>
  <c r="DE33" i="26"/>
  <c r="DD33" i="26"/>
  <c r="DC33" i="26"/>
  <c r="DB33" i="26"/>
  <c r="CV33" i="26"/>
  <c r="CU33" i="26"/>
  <c r="CT33" i="26"/>
  <c r="CS33" i="26"/>
  <c r="CQ33" i="26"/>
  <c r="CP33" i="26"/>
  <c r="CN33" i="26"/>
  <c r="CH33" i="26"/>
  <c r="CG33" i="26"/>
  <c r="CF33" i="26"/>
  <c r="CE33" i="26"/>
  <c r="CC33" i="26"/>
  <c r="CB33" i="26"/>
  <c r="CA33" i="26"/>
  <c r="BZ33" i="26"/>
  <c r="BX33" i="26"/>
  <c r="BW33" i="26"/>
  <c r="BV33" i="26"/>
  <c r="BU33" i="26"/>
  <c r="BS33" i="26"/>
  <c r="BR33" i="26"/>
  <c r="BQ33" i="26"/>
  <c r="BP33" i="26"/>
  <c r="BN33" i="26"/>
  <c r="BM33" i="26"/>
  <c r="BL33" i="26"/>
  <c r="BK33" i="26"/>
  <c r="BI33" i="26"/>
  <c r="BH33" i="26"/>
  <c r="BG33" i="26"/>
  <c r="BF33" i="26"/>
  <c r="BD33" i="26"/>
  <c r="BC33" i="26"/>
  <c r="BB33" i="26"/>
  <c r="AD33" i="26"/>
  <c r="AC33" i="26"/>
  <c r="AB33" i="26"/>
  <c r="AA33" i="26"/>
  <c r="Y33" i="26"/>
  <c r="X33" i="26"/>
  <c r="W33" i="26"/>
  <c r="V33" i="26"/>
  <c r="T33" i="26"/>
  <c r="S33" i="26"/>
  <c r="R33" i="26"/>
  <c r="Q33" i="26"/>
  <c r="O33" i="26"/>
  <c r="N33" i="26"/>
  <c r="DV32" i="26"/>
  <c r="DU32" i="26"/>
  <c r="DS32" i="26"/>
  <c r="DR32" i="26"/>
  <c r="DQ32" i="26"/>
  <c r="DO32" i="26"/>
  <c r="DN32" i="26"/>
  <c r="DM32" i="26"/>
  <c r="DL32" i="26"/>
  <c r="DJ32" i="26"/>
  <c r="DI32" i="26"/>
  <c r="DH32" i="26"/>
  <c r="DG32" i="26"/>
  <c r="DE32" i="26"/>
  <c r="DD32" i="26"/>
  <c r="DC32" i="26"/>
  <c r="DB32" i="26"/>
  <c r="CV32" i="26"/>
  <c r="CU32" i="26"/>
  <c r="CT32" i="26"/>
  <c r="CS32" i="26"/>
  <c r="CQ32" i="26"/>
  <c r="CP32" i="26"/>
  <c r="CN32" i="26"/>
  <c r="CH32" i="26"/>
  <c r="CG32" i="26"/>
  <c r="CF32" i="26"/>
  <c r="CE32" i="26"/>
  <c r="CC32" i="26"/>
  <c r="CB32" i="26"/>
  <c r="CA32" i="26"/>
  <c r="BZ32" i="26"/>
  <c r="BX32" i="26"/>
  <c r="BW32" i="26"/>
  <c r="BV32" i="26"/>
  <c r="BU32" i="26"/>
  <c r="BS32" i="26"/>
  <c r="BR32" i="26"/>
  <c r="BQ32" i="26"/>
  <c r="BP32" i="26"/>
  <c r="BN32" i="26"/>
  <c r="BM32" i="26"/>
  <c r="BL32" i="26"/>
  <c r="BK32" i="26"/>
  <c r="BI32" i="26"/>
  <c r="BH32" i="26"/>
  <c r="BG32" i="26"/>
  <c r="BF32" i="26"/>
  <c r="BD32" i="26"/>
  <c r="BC32" i="26"/>
  <c r="BB32" i="26"/>
  <c r="AD32" i="26"/>
  <c r="AC32" i="26"/>
  <c r="AB32" i="26"/>
  <c r="AA32" i="26"/>
  <c r="Y32" i="26"/>
  <c r="X32" i="26"/>
  <c r="W32" i="26"/>
  <c r="V32" i="26"/>
  <c r="T32" i="26"/>
  <c r="S32" i="26"/>
  <c r="R32" i="26"/>
  <c r="Q32" i="26"/>
  <c r="O32" i="26"/>
  <c r="N32" i="26"/>
  <c r="DV31" i="26"/>
  <c r="DU31" i="26"/>
  <c r="DS31" i="26"/>
  <c r="DR31" i="26"/>
  <c r="DQ31" i="26"/>
  <c r="DO31" i="26"/>
  <c r="DN31" i="26"/>
  <c r="DM31" i="26"/>
  <c r="DL31" i="26"/>
  <c r="DJ31" i="26"/>
  <c r="DI31" i="26"/>
  <c r="DH31" i="26"/>
  <c r="DG31" i="26"/>
  <c r="DE31" i="26"/>
  <c r="DD31" i="26"/>
  <c r="DC31" i="26"/>
  <c r="DB31" i="26"/>
  <c r="CV31" i="26"/>
  <c r="CU31" i="26"/>
  <c r="CT31" i="26"/>
  <c r="CS31" i="26"/>
  <c r="CQ31" i="26"/>
  <c r="CP31" i="26"/>
  <c r="CN31" i="26"/>
  <c r="CH31" i="26"/>
  <c r="CG31" i="26"/>
  <c r="CF31" i="26"/>
  <c r="CE31" i="26"/>
  <c r="CC31" i="26"/>
  <c r="CB31" i="26"/>
  <c r="CA31" i="26"/>
  <c r="BZ31" i="26"/>
  <c r="BX31" i="26"/>
  <c r="BW31" i="26"/>
  <c r="BV31" i="26"/>
  <c r="BU31" i="26"/>
  <c r="BS31" i="26"/>
  <c r="BR31" i="26"/>
  <c r="BQ31" i="26"/>
  <c r="BP31" i="26"/>
  <c r="BN31" i="26"/>
  <c r="BM31" i="26"/>
  <c r="BL31" i="26"/>
  <c r="BK31" i="26"/>
  <c r="BI31" i="26"/>
  <c r="BH31" i="26"/>
  <c r="BG31" i="26"/>
  <c r="BF31" i="26"/>
  <c r="BD31" i="26"/>
  <c r="BC31" i="26"/>
  <c r="BB31" i="26"/>
  <c r="AD31" i="26"/>
  <c r="AC31" i="26"/>
  <c r="AB31" i="26"/>
  <c r="AA31" i="26"/>
  <c r="Y31" i="26"/>
  <c r="X31" i="26"/>
  <c r="W31" i="26"/>
  <c r="V31" i="26"/>
  <c r="T31" i="26"/>
  <c r="S31" i="26"/>
  <c r="R31" i="26"/>
  <c r="Q31" i="26"/>
  <c r="O31" i="26"/>
  <c r="N31" i="26"/>
  <c r="DV30" i="26"/>
  <c r="DU30" i="26"/>
  <c r="DS30" i="26"/>
  <c r="DR30" i="26"/>
  <c r="DQ30" i="26"/>
  <c r="DO30" i="26"/>
  <c r="DN30" i="26"/>
  <c r="DM30" i="26"/>
  <c r="DL30" i="26"/>
  <c r="DJ30" i="26"/>
  <c r="DI30" i="26"/>
  <c r="DH30" i="26"/>
  <c r="DG30" i="26"/>
  <c r="DE30" i="26"/>
  <c r="DD30" i="26"/>
  <c r="DC30" i="26"/>
  <c r="DB30" i="26"/>
  <c r="CV30" i="26"/>
  <c r="CU30" i="26"/>
  <c r="CT30" i="26"/>
  <c r="CS30" i="26"/>
  <c r="CQ30" i="26"/>
  <c r="CP30" i="26"/>
  <c r="CN30" i="26"/>
  <c r="CH30" i="26"/>
  <c r="CG30" i="26"/>
  <c r="CF30" i="26"/>
  <c r="CE30" i="26"/>
  <c r="CC30" i="26"/>
  <c r="CB30" i="26"/>
  <c r="CA30" i="26"/>
  <c r="BZ30" i="26"/>
  <c r="BX30" i="26"/>
  <c r="BW30" i="26"/>
  <c r="BV30" i="26"/>
  <c r="BU30" i="26"/>
  <c r="BS30" i="26"/>
  <c r="BR30" i="26"/>
  <c r="BQ30" i="26"/>
  <c r="BP30" i="26"/>
  <c r="BN30" i="26"/>
  <c r="BM30" i="26"/>
  <c r="BL30" i="26"/>
  <c r="BK30" i="26"/>
  <c r="BI30" i="26"/>
  <c r="BH30" i="26"/>
  <c r="BG30" i="26"/>
  <c r="BF30" i="26"/>
  <c r="BD30" i="26"/>
  <c r="BC30" i="26"/>
  <c r="BB30" i="26"/>
  <c r="AD30" i="26"/>
  <c r="AC30" i="26"/>
  <c r="AB30" i="26"/>
  <c r="AA30" i="26"/>
  <c r="Y30" i="26"/>
  <c r="X30" i="26"/>
  <c r="W30" i="26"/>
  <c r="V30" i="26"/>
  <c r="T30" i="26"/>
  <c r="S30" i="26"/>
  <c r="R30" i="26"/>
  <c r="Q30" i="26"/>
  <c r="O30" i="26"/>
  <c r="N30" i="26"/>
  <c r="DV29" i="26"/>
  <c r="DU29" i="26"/>
  <c r="DS29" i="26"/>
  <c r="DR29" i="26"/>
  <c r="DQ29" i="26"/>
  <c r="DO29" i="26"/>
  <c r="DN29" i="26"/>
  <c r="DM29" i="26"/>
  <c r="DL29" i="26"/>
  <c r="DJ29" i="26"/>
  <c r="DI29" i="26"/>
  <c r="DH29" i="26"/>
  <c r="DG29" i="26"/>
  <c r="DE29" i="26"/>
  <c r="DD29" i="26"/>
  <c r="DC29" i="26"/>
  <c r="DB29" i="26"/>
  <c r="CV29" i="26"/>
  <c r="CU29" i="26"/>
  <c r="CT29" i="26"/>
  <c r="CS29" i="26"/>
  <c r="CQ29" i="26"/>
  <c r="CP29" i="26"/>
  <c r="CN29" i="26"/>
  <c r="CH29" i="26"/>
  <c r="CG29" i="26"/>
  <c r="CF29" i="26"/>
  <c r="CE29" i="26"/>
  <c r="CC29" i="26"/>
  <c r="CB29" i="26"/>
  <c r="CA29" i="26"/>
  <c r="BZ29" i="26"/>
  <c r="BX29" i="26"/>
  <c r="BW29" i="26"/>
  <c r="BV29" i="26"/>
  <c r="BU29" i="26"/>
  <c r="BS29" i="26"/>
  <c r="BR29" i="26"/>
  <c r="BQ29" i="26"/>
  <c r="BP29" i="26"/>
  <c r="BN29" i="26"/>
  <c r="BM29" i="26"/>
  <c r="BL29" i="26"/>
  <c r="BK29" i="26"/>
  <c r="BI29" i="26"/>
  <c r="BH29" i="26"/>
  <c r="BG29" i="26"/>
  <c r="BF29" i="26"/>
  <c r="BD29" i="26"/>
  <c r="BC29" i="26"/>
  <c r="BB29" i="26"/>
  <c r="AD29" i="26"/>
  <c r="AC29" i="26"/>
  <c r="AB29" i="26"/>
  <c r="AA29" i="26"/>
  <c r="Y29" i="26"/>
  <c r="X29" i="26"/>
  <c r="W29" i="26"/>
  <c r="V29" i="26"/>
  <c r="T29" i="26"/>
  <c r="S29" i="26"/>
  <c r="R29" i="26"/>
  <c r="Q29" i="26"/>
  <c r="O29" i="26"/>
  <c r="N29" i="26"/>
  <c r="DV28" i="26"/>
  <c r="DU28" i="26"/>
  <c r="DS28" i="26"/>
  <c r="DR28" i="26"/>
  <c r="DQ28" i="26"/>
  <c r="DO28" i="26"/>
  <c r="DN28" i="26"/>
  <c r="DM28" i="26"/>
  <c r="DL28" i="26"/>
  <c r="DJ28" i="26"/>
  <c r="DI28" i="26"/>
  <c r="DH28" i="26"/>
  <c r="DG28" i="26"/>
  <c r="DE28" i="26"/>
  <c r="DD28" i="26"/>
  <c r="DC28" i="26"/>
  <c r="DB28" i="26"/>
  <c r="CV28" i="26"/>
  <c r="CU28" i="26"/>
  <c r="CT28" i="26"/>
  <c r="CS28" i="26"/>
  <c r="CQ28" i="26"/>
  <c r="CP28" i="26"/>
  <c r="CN28" i="26"/>
  <c r="CH28" i="26"/>
  <c r="CG28" i="26"/>
  <c r="CF28" i="26"/>
  <c r="CE28" i="26"/>
  <c r="CC28" i="26"/>
  <c r="CB28" i="26"/>
  <c r="CA28" i="26"/>
  <c r="BZ28" i="26"/>
  <c r="BX28" i="26"/>
  <c r="BW28" i="26"/>
  <c r="BV28" i="26"/>
  <c r="BU28" i="26"/>
  <c r="BS28" i="26"/>
  <c r="BR28" i="26"/>
  <c r="BQ28" i="26"/>
  <c r="BP28" i="26"/>
  <c r="BN28" i="26"/>
  <c r="BM28" i="26"/>
  <c r="BL28" i="26"/>
  <c r="BK28" i="26"/>
  <c r="BI28" i="26"/>
  <c r="BH28" i="26"/>
  <c r="BG28" i="26"/>
  <c r="BF28" i="26"/>
  <c r="BD28" i="26"/>
  <c r="BC28" i="26"/>
  <c r="BB28" i="26"/>
  <c r="AD28" i="26"/>
  <c r="AC28" i="26"/>
  <c r="AB28" i="26"/>
  <c r="AA28" i="26"/>
  <c r="Y28" i="26"/>
  <c r="X28" i="26"/>
  <c r="W28" i="26"/>
  <c r="V28" i="26"/>
  <c r="T28" i="26"/>
  <c r="S28" i="26"/>
  <c r="R28" i="26"/>
  <c r="Q28" i="26"/>
  <c r="O28" i="26"/>
  <c r="N28" i="26"/>
  <c r="CI26" i="26"/>
  <c r="AZ26" i="26"/>
  <c r="AY26" i="26"/>
  <c r="AX26" i="26"/>
  <c r="AW26" i="26"/>
  <c r="AV26" i="26"/>
  <c r="AU26" i="26"/>
  <c r="AT26" i="26"/>
  <c r="AD26" i="26"/>
  <c r="E26" i="26" s="1"/>
  <c r="AC26" i="26"/>
  <c r="AB26" i="26"/>
  <c r="AA26" i="26"/>
  <c r="Y26" i="26"/>
  <c r="D26" i="26" s="1"/>
  <c r="X26" i="26"/>
  <c r="W26" i="26"/>
  <c r="V26" i="26"/>
  <c r="T26" i="26"/>
  <c r="C26" i="26" s="1"/>
  <c r="S26" i="26"/>
  <c r="R26" i="26"/>
  <c r="L26" i="26"/>
  <c r="K26" i="26"/>
  <c r="J26" i="26"/>
  <c r="I26" i="26"/>
  <c r="CI25" i="26"/>
  <c r="AZ25" i="26"/>
  <c r="AY25" i="26"/>
  <c r="AX25" i="26"/>
  <c r="AW25" i="26"/>
  <c r="AV25" i="26"/>
  <c r="AU25" i="26"/>
  <c r="AT25" i="26"/>
  <c r="AD25" i="26"/>
  <c r="E25" i="26" s="1"/>
  <c r="AC25" i="26"/>
  <c r="AB25" i="26"/>
  <c r="AA25" i="26"/>
  <c r="Y25" i="26"/>
  <c r="D25" i="26" s="1"/>
  <c r="X25" i="26"/>
  <c r="W25" i="26"/>
  <c r="V25" i="26"/>
  <c r="T25" i="26"/>
  <c r="C25" i="26" s="1"/>
  <c r="S25" i="26"/>
  <c r="R25" i="26"/>
  <c r="L25" i="26"/>
  <c r="K25" i="26"/>
  <c r="J25" i="26"/>
  <c r="I25" i="26"/>
  <c r="CI24" i="26"/>
  <c r="AZ24" i="26"/>
  <c r="AY24" i="26"/>
  <c r="AX24" i="26"/>
  <c r="AW24" i="26"/>
  <c r="AV24" i="26"/>
  <c r="AU24" i="26"/>
  <c r="AT24" i="26"/>
  <c r="AD24" i="26"/>
  <c r="E24" i="26" s="1"/>
  <c r="AC24" i="26"/>
  <c r="AB24" i="26"/>
  <c r="AA24" i="26"/>
  <c r="Y24" i="26"/>
  <c r="D24" i="26" s="1"/>
  <c r="X24" i="26"/>
  <c r="W24" i="26"/>
  <c r="V24" i="26"/>
  <c r="T24" i="26"/>
  <c r="C24" i="26" s="1"/>
  <c r="S24" i="26"/>
  <c r="R24" i="26"/>
  <c r="L24" i="26"/>
  <c r="K24" i="26"/>
  <c r="J24" i="26"/>
  <c r="I24" i="26"/>
  <c r="CI23" i="26"/>
  <c r="AZ23" i="26"/>
  <c r="AY23" i="26"/>
  <c r="AX23" i="26"/>
  <c r="AW23" i="26"/>
  <c r="AV23" i="26"/>
  <c r="AU23" i="26"/>
  <c r="AT23" i="26"/>
  <c r="AD23" i="26"/>
  <c r="E23" i="26" s="1"/>
  <c r="AC23" i="26"/>
  <c r="AB23" i="26"/>
  <c r="AA23" i="26"/>
  <c r="Y23" i="26"/>
  <c r="D23" i="26" s="1"/>
  <c r="X23" i="26"/>
  <c r="W23" i="26"/>
  <c r="V23" i="26"/>
  <c r="T23" i="26"/>
  <c r="C23" i="26" s="1"/>
  <c r="S23" i="26"/>
  <c r="R23" i="26"/>
  <c r="L23" i="26"/>
  <c r="K23" i="26"/>
  <c r="J23" i="26"/>
  <c r="I23" i="26"/>
  <c r="CI22" i="26"/>
  <c r="AZ22" i="26"/>
  <c r="AY22" i="26"/>
  <c r="AX22" i="26"/>
  <c r="AW22" i="26"/>
  <c r="AV22" i="26"/>
  <c r="AU22" i="26"/>
  <c r="AT22" i="26"/>
  <c r="AD22" i="26"/>
  <c r="E22" i="26" s="1"/>
  <c r="AC22" i="26"/>
  <c r="AB22" i="26"/>
  <c r="AA22" i="26"/>
  <c r="Y22" i="26"/>
  <c r="D22" i="26" s="1"/>
  <c r="X22" i="26"/>
  <c r="W22" i="26"/>
  <c r="V22" i="26"/>
  <c r="T22" i="26"/>
  <c r="C22" i="26" s="1"/>
  <c r="S22" i="26"/>
  <c r="R22" i="26"/>
  <c r="L22" i="26"/>
  <c r="K22" i="26"/>
  <c r="J22" i="26"/>
  <c r="I22" i="26"/>
  <c r="CI21" i="26"/>
  <c r="AZ21" i="26"/>
  <c r="AY21" i="26"/>
  <c r="AX21" i="26"/>
  <c r="AW21" i="26"/>
  <c r="AV21" i="26"/>
  <c r="AU21" i="26"/>
  <c r="AT21" i="26"/>
  <c r="AD21" i="26"/>
  <c r="E21" i="26" s="1"/>
  <c r="AC21" i="26"/>
  <c r="AB21" i="26"/>
  <c r="AA21" i="26"/>
  <c r="Y21" i="26"/>
  <c r="D21" i="26" s="1"/>
  <c r="X21" i="26"/>
  <c r="W21" i="26"/>
  <c r="V21" i="26"/>
  <c r="T21" i="26"/>
  <c r="C21" i="26" s="1"/>
  <c r="S21" i="26"/>
  <c r="R21" i="26"/>
  <c r="L21" i="26"/>
  <c r="K21" i="26"/>
  <c r="J21" i="26"/>
  <c r="I21" i="26"/>
  <c r="CI20" i="26"/>
  <c r="AZ20" i="26"/>
  <c r="AY20" i="26"/>
  <c r="AX20" i="26"/>
  <c r="AW20" i="26"/>
  <c r="AV20" i="26"/>
  <c r="AU20" i="26"/>
  <c r="AT20" i="26"/>
  <c r="AD20" i="26"/>
  <c r="E20" i="26" s="1"/>
  <c r="AC20" i="26"/>
  <c r="AB20" i="26"/>
  <c r="AA20" i="26"/>
  <c r="Y20" i="26"/>
  <c r="D20" i="26" s="1"/>
  <c r="X20" i="26"/>
  <c r="W20" i="26"/>
  <c r="V20" i="26"/>
  <c r="T20" i="26"/>
  <c r="C20" i="26" s="1"/>
  <c r="S20" i="26"/>
  <c r="R20" i="26"/>
  <c r="L20" i="26"/>
  <c r="K20" i="26"/>
  <c r="J20" i="26"/>
  <c r="I20" i="26"/>
  <c r="CI19" i="26"/>
  <c r="AZ19" i="26"/>
  <c r="AY19" i="26"/>
  <c r="AX19" i="26"/>
  <c r="AW19" i="26"/>
  <c r="AV19" i="26"/>
  <c r="AU19" i="26"/>
  <c r="AT19" i="26"/>
  <c r="AD19" i="26"/>
  <c r="E19" i="26" s="1"/>
  <c r="AC19" i="26"/>
  <c r="AB19" i="26"/>
  <c r="AA19" i="26"/>
  <c r="Y19" i="26"/>
  <c r="D19" i="26" s="1"/>
  <c r="X19" i="26"/>
  <c r="W19" i="26"/>
  <c r="V19" i="26"/>
  <c r="T19" i="26"/>
  <c r="C19" i="26" s="1"/>
  <c r="S19" i="26"/>
  <c r="R19" i="26"/>
  <c r="L19" i="26"/>
  <c r="K19" i="26"/>
  <c r="J19" i="26"/>
  <c r="I19" i="26"/>
  <c r="CI18" i="26"/>
  <c r="AZ18" i="26"/>
  <c r="AY18" i="26"/>
  <c r="AX18" i="26"/>
  <c r="AW18" i="26"/>
  <c r="AV18" i="26"/>
  <c r="AU18" i="26"/>
  <c r="AT18" i="26"/>
  <c r="AD18" i="26"/>
  <c r="E18" i="26" s="1"/>
  <c r="AC18" i="26"/>
  <c r="AB18" i="26"/>
  <c r="AA18" i="26"/>
  <c r="Y18" i="26"/>
  <c r="D18" i="26" s="1"/>
  <c r="X18" i="26"/>
  <c r="W18" i="26"/>
  <c r="V18" i="26"/>
  <c r="T18" i="26"/>
  <c r="C18" i="26" s="1"/>
  <c r="S18" i="26"/>
  <c r="R18" i="26"/>
  <c r="L18" i="26"/>
  <c r="K18" i="26"/>
  <c r="J18" i="26"/>
  <c r="I18" i="26"/>
  <c r="CI17" i="26"/>
  <c r="AZ17" i="26"/>
  <c r="AY17" i="26"/>
  <c r="AX17" i="26"/>
  <c r="AW17" i="26"/>
  <c r="AV17" i="26"/>
  <c r="AU17" i="26"/>
  <c r="AT17" i="26"/>
  <c r="AD17" i="26"/>
  <c r="E17" i="26" s="1"/>
  <c r="AC17" i="26"/>
  <c r="AB17" i="26"/>
  <c r="AA17" i="26"/>
  <c r="Y17" i="26"/>
  <c r="D17" i="26" s="1"/>
  <c r="X17" i="26"/>
  <c r="W17" i="26"/>
  <c r="V17" i="26"/>
  <c r="T17" i="26"/>
  <c r="C17" i="26" s="1"/>
  <c r="S17" i="26"/>
  <c r="R17" i="26"/>
  <c r="L17" i="26"/>
  <c r="K17" i="26"/>
  <c r="J17" i="26"/>
  <c r="I17" i="26"/>
  <c r="EC26" i="26"/>
  <c r="CI15" i="26"/>
  <c r="AZ15" i="26"/>
  <c r="AY15" i="26"/>
  <c r="AX15" i="26"/>
  <c r="AW15" i="26"/>
  <c r="AV15" i="26"/>
  <c r="AU15" i="26"/>
  <c r="AT15" i="26"/>
  <c r="G15" i="26"/>
  <c r="AI26" i="26"/>
  <c r="F26" i="26" s="1"/>
  <c r="AF26" i="26"/>
  <c r="L15" i="26"/>
  <c r="K15" i="26"/>
  <c r="J15" i="26"/>
  <c r="I15" i="26"/>
  <c r="H15" i="26"/>
  <c r="E15" i="26"/>
  <c r="D15" i="26"/>
  <c r="C15" i="26"/>
  <c r="B15" i="26"/>
  <c r="EC25" i="26"/>
  <c r="CI14" i="26"/>
  <c r="AZ14" i="26"/>
  <c r="AY14" i="26"/>
  <c r="AX14" i="26"/>
  <c r="AW14" i="26"/>
  <c r="AV14" i="26"/>
  <c r="AU14" i="26"/>
  <c r="AT14" i="26"/>
  <c r="H14" i="26"/>
  <c r="AI25" i="26"/>
  <c r="F25" i="26" s="1"/>
  <c r="AH25" i="26"/>
  <c r="AF25" i="26"/>
  <c r="L14" i="26"/>
  <c r="K14" i="26"/>
  <c r="J14" i="26"/>
  <c r="I14" i="26"/>
  <c r="E14" i="26"/>
  <c r="D14" i="26"/>
  <c r="C14" i="26"/>
  <c r="B14" i="26"/>
  <c r="EC24" i="26"/>
  <c r="CI13" i="26"/>
  <c r="AZ13" i="26"/>
  <c r="AY13" i="26"/>
  <c r="AX13" i="26"/>
  <c r="AW13" i="26"/>
  <c r="AV13" i="26"/>
  <c r="AU13" i="26"/>
  <c r="AT13" i="26"/>
  <c r="BA35" i="26"/>
  <c r="G13" i="26"/>
  <c r="F13" i="26"/>
  <c r="AH24" i="26"/>
  <c r="AF35" i="26"/>
  <c r="L13" i="26"/>
  <c r="K13" i="26"/>
  <c r="J13" i="26"/>
  <c r="I13" i="26"/>
  <c r="H13" i="26"/>
  <c r="E13" i="26"/>
  <c r="D13" i="26"/>
  <c r="C13" i="26"/>
  <c r="B13" i="26"/>
  <c r="EC23" i="26"/>
  <c r="CI12" i="26"/>
  <c r="AZ12" i="26"/>
  <c r="AY12" i="26"/>
  <c r="AX12" i="26"/>
  <c r="AW12" i="26"/>
  <c r="AV12" i="26"/>
  <c r="AU12" i="26"/>
  <c r="AT12" i="26"/>
  <c r="G12" i="26"/>
  <c r="AH23" i="26"/>
  <c r="AF34" i="26"/>
  <c r="L12" i="26"/>
  <c r="K12" i="26"/>
  <c r="J12" i="26"/>
  <c r="I12" i="26"/>
  <c r="H12" i="26"/>
  <c r="E12" i="26"/>
  <c r="D12" i="26"/>
  <c r="C12" i="26"/>
  <c r="B12" i="26"/>
  <c r="EC22" i="26"/>
  <c r="CI11" i="26"/>
  <c r="AZ11" i="26"/>
  <c r="AY11" i="26"/>
  <c r="AX11" i="26"/>
  <c r="AW11" i="26"/>
  <c r="AV11" i="26"/>
  <c r="AU11" i="26"/>
  <c r="AT11" i="26"/>
  <c r="BA33" i="26"/>
  <c r="AI22" i="26"/>
  <c r="F22" i="26" s="1"/>
  <c r="AG22" i="26"/>
  <c r="AF33" i="26"/>
  <c r="L11" i="26"/>
  <c r="K11" i="26"/>
  <c r="J11" i="26"/>
  <c r="I11" i="26"/>
  <c r="H11" i="26"/>
  <c r="E11" i="26"/>
  <c r="D11" i="26"/>
  <c r="C11" i="26"/>
  <c r="B11" i="26"/>
  <c r="EC21" i="26"/>
  <c r="CI10" i="26"/>
  <c r="AZ10" i="26"/>
  <c r="AY10" i="26"/>
  <c r="AX10" i="26"/>
  <c r="AW10" i="26"/>
  <c r="AV10" i="26"/>
  <c r="AU10" i="26"/>
  <c r="AT10" i="26"/>
  <c r="G10" i="26"/>
  <c r="AG21" i="26"/>
  <c r="AF32" i="26"/>
  <c r="L10" i="26"/>
  <c r="K10" i="26"/>
  <c r="J10" i="26"/>
  <c r="I10" i="26"/>
  <c r="H10" i="26"/>
  <c r="E10" i="26"/>
  <c r="D10" i="26"/>
  <c r="C10" i="26"/>
  <c r="B10" i="26"/>
  <c r="EC20" i="26"/>
  <c r="CI9" i="26"/>
  <c r="AZ9" i="26"/>
  <c r="AY9" i="26"/>
  <c r="AX9" i="26"/>
  <c r="AW9" i="26"/>
  <c r="AV9" i="26"/>
  <c r="AU9" i="26"/>
  <c r="AT9" i="26"/>
  <c r="BA31" i="26"/>
  <c r="G9" i="26"/>
  <c r="AI20" i="26"/>
  <c r="F20" i="26" s="1"/>
  <c r="AH20" i="26"/>
  <c r="AF20" i="26"/>
  <c r="L9" i="26"/>
  <c r="K9" i="26"/>
  <c r="J9" i="26"/>
  <c r="I9" i="26"/>
  <c r="H9" i="26"/>
  <c r="E9" i="26"/>
  <c r="D9" i="26"/>
  <c r="C9" i="26"/>
  <c r="B9" i="26"/>
  <c r="EC19" i="26"/>
  <c r="CI8" i="26"/>
  <c r="AZ8" i="26"/>
  <c r="AY8" i="26"/>
  <c r="AX8" i="26"/>
  <c r="AW8" i="26"/>
  <c r="AV8" i="26"/>
  <c r="AU8" i="26"/>
  <c r="AT8" i="26"/>
  <c r="G8" i="26"/>
  <c r="AG19" i="26"/>
  <c r="AF30" i="26"/>
  <c r="L8" i="26"/>
  <c r="K8" i="26"/>
  <c r="J8" i="26"/>
  <c r="I8" i="26"/>
  <c r="H8" i="26"/>
  <c r="E8" i="26"/>
  <c r="D8" i="26"/>
  <c r="C8" i="26"/>
  <c r="B8" i="26"/>
  <c r="EC18" i="26"/>
  <c r="CI7" i="26"/>
  <c r="AZ7" i="26"/>
  <c r="AY7" i="26"/>
  <c r="AX7" i="26"/>
  <c r="AW7" i="26"/>
  <c r="AV7" i="26"/>
  <c r="AU7" i="26"/>
  <c r="AT7" i="26"/>
  <c r="G7" i="26"/>
  <c r="AG18" i="26"/>
  <c r="AF29" i="26"/>
  <c r="L7" i="26"/>
  <c r="K7" i="26"/>
  <c r="J7" i="26"/>
  <c r="I7" i="26"/>
  <c r="H7" i="26"/>
  <c r="E7" i="26"/>
  <c r="D7" i="26"/>
  <c r="C7" i="26"/>
  <c r="B7" i="26"/>
  <c r="EC17" i="26"/>
  <c r="DW17" i="26"/>
  <c r="CI6" i="26"/>
  <c r="AZ6" i="26"/>
  <c r="AY6" i="26"/>
  <c r="AX6" i="26"/>
  <c r="AW6" i="26"/>
  <c r="AV6" i="26"/>
  <c r="AU6" i="26"/>
  <c r="AT6" i="26"/>
  <c r="G6" i="26"/>
  <c r="AI17" i="26"/>
  <c r="F17" i="26" s="1"/>
  <c r="AH17" i="26"/>
  <c r="AG17" i="26"/>
  <c r="L6" i="26"/>
  <c r="K6" i="26"/>
  <c r="J6" i="26"/>
  <c r="I6" i="26"/>
  <c r="H6" i="26"/>
  <c r="E6" i="26"/>
  <c r="D6" i="26"/>
  <c r="C6" i="26"/>
  <c r="B6" i="26"/>
  <c r="CK4" i="26"/>
  <c r="CL4" i="26" s="1"/>
  <c r="CM4" i="26" s="1"/>
  <c r="V26" i="7"/>
  <c r="S26" i="7"/>
  <c r="V25" i="7"/>
  <c r="T25" i="7"/>
  <c r="S25" i="7"/>
  <c r="R25" i="7"/>
  <c r="V24" i="7"/>
  <c r="T24" i="7"/>
  <c r="S24" i="7"/>
  <c r="V23" i="7"/>
  <c r="T23" i="7"/>
  <c r="S23" i="7"/>
  <c r="V22" i="7"/>
  <c r="S22" i="7"/>
  <c r="R22" i="7"/>
  <c r="V21" i="7"/>
  <c r="T21" i="7"/>
  <c r="S21" i="7"/>
  <c r="V20" i="7"/>
  <c r="T20" i="7"/>
  <c r="S20" i="7"/>
  <c r="V19" i="7"/>
  <c r="T19" i="7"/>
  <c r="S19" i="7"/>
  <c r="V18" i="7"/>
  <c r="S18" i="7"/>
  <c r="R18" i="7"/>
  <c r="V17" i="7"/>
  <c r="S17" i="7"/>
  <c r="R17" i="7"/>
  <c r="A45" i="6"/>
  <c r="DB26" i="6"/>
  <c r="DA26" i="6"/>
  <c r="CZ26" i="6"/>
  <c r="CX26" i="6"/>
  <c r="CW26" i="6"/>
  <c r="CV26" i="6"/>
  <c r="CU26" i="6"/>
  <c r="CS26" i="6"/>
  <c r="CR26" i="6"/>
  <c r="CQ26" i="6"/>
  <c r="CP26" i="6"/>
  <c r="CN26" i="6"/>
  <c r="CM26" i="6"/>
  <c r="CL26" i="6"/>
  <c r="CK26" i="6"/>
  <c r="CI26" i="6"/>
  <c r="CH26" i="6"/>
  <c r="CG26" i="6"/>
  <c r="CF26" i="6"/>
  <c r="CD26" i="6"/>
  <c r="CC26" i="6"/>
  <c r="CA26" i="6"/>
  <c r="BZ26" i="6"/>
  <c r="BX26" i="6"/>
  <c r="BW26" i="6"/>
  <c r="BV26" i="6"/>
  <c r="BU26" i="6"/>
  <c r="BS26" i="6"/>
  <c r="BR26" i="6"/>
  <c r="BQ26" i="6"/>
  <c r="BP26" i="6"/>
  <c r="BN26" i="6"/>
  <c r="BM26" i="6"/>
  <c r="BL26" i="6"/>
  <c r="BK26" i="6"/>
  <c r="BI26" i="6"/>
  <c r="BH26" i="6"/>
  <c r="BG26" i="6"/>
  <c r="BF26" i="6"/>
  <c r="BD26" i="6"/>
  <c r="BC26" i="6"/>
  <c r="BB26" i="6"/>
  <c r="BA26" i="6"/>
  <c r="AY26" i="6"/>
  <c r="AX26" i="6"/>
  <c r="AW26" i="6"/>
  <c r="AV26" i="6"/>
  <c r="AT26" i="6"/>
  <c r="AS26" i="6"/>
  <c r="AR26" i="6"/>
  <c r="AQ26" i="6"/>
  <c r="AO26" i="6"/>
  <c r="AN26" i="6"/>
  <c r="AM26" i="6"/>
  <c r="AL26" i="6"/>
  <c r="AJ26" i="6"/>
  <c r="AI26" i="6"/>
  <c r="AH26" i="6"/>
  <c r="AG26" i="6"/>
  <c r="AE26" i="6"/>
  <c r="AD26" i="6"/>
  <c r="AC26" i="6"/>
  <c r="AB26" i="6"/>
  <c r="Z26" i="6"/>
  <c r="Y26" i="6"/>
  <c r="X26" i="6"/>
  <c r="W26" i="6"/>
  <c r="DB25" i="6"/>
  <c r="DA25" i="6"/>
  <c r="CZ25" i="6"/>
  <c r="CX25" i="6"/>
  <c r="CW25" i="6"/>
  <c r="CV25" i="6"/>
  <c r="CU25" i="6"/>
  <c r="CS25" i="6"/>
  <c r="CR25" i="6"/>
  <c r="CQ25" i="6"/>
  <c r="CP25" i="6"/>
  <c r="CN25" i="6"/>
  <c r="CM25" i="6"/>
  <c r="CL25" i="6"/>
  <c r="CK25" i="6"/>
  <c r="CI25" i="6"/>
  <c r="CH25" i="6"/>
  <c r="CG25" i="6"/>
  <c r="CF25" i="6"/>
  <c r="CD25" i="6"/>
  <c r="CC25" i="6"/>
  <c r="CA25" i="6"/>
  <c r="BZ25" i="6"/>
  <c r="BX25" i="6"/>
  <c r="BW25" i="6"/>
  <c r="BV25" i="6"/>
  <c r="BU25" i="6"/>
  <c r="BS25" i="6"/>
  <c r="BR25" i="6"/>
  <c r="BQ25" i="6"/>
  <c r="BP25" i="6"/>
  <c r="BN25" i="6"/>
  <c r="BM25" i="6"/>
  <c r="BL25" i="6"/>
  <c r="BK25" i="6"/>
  <c r="BI25" i="6"/>
  <c r="BH25" i="6"/>
  <c r="BG25" i="6"/>
  <c r="BF25" i="6"/>
  <c r="BD25" i="6"/>
  <c r="BC25" i="6"/>
  <c r="BB25" i="6"/>
  <c r="BA25" i="6"/>
  <c r="AY25" i="6"/>
  <c r="AX25" i="6"/>
  <c r="AW25" i="6"/>
  <c r="AV25" i="6"/>
  <c r="AT25" i="6"/>
  <c r="AS25" i="6"/>
  <c r="AR25" i="6"/>
  <c r="AQ25" i="6"/>
  <c r="AO25" i="6"/>
  <c r="AN25" i="6"/>
  <c r="AM25" i="6"/>
  <c r="AL25" i="6"/>
  <c r="AJ25" i="6"/>
  <c r="AI25" i="6"/>
  <c r="AH25" i="6"/>
  <c r="AG25" i="6"/>
  <c r="AE25" i="6"/>
  <c r="AD25" i="6"/>
  <c r="AC25" i="6"/>
  <c r="AB25" i="6"/>
  <c r="Z25" i="6"/>
  <c r="Y25" i="6"/>
  <c r="X25" i="6"/>
  <c r="W25" i="6"/>
  <c r="DB24" i="6"/>
  <c r="DA24" i="6"/>
  <c r="CZ24" i="6"/>
  <c r="CX24" i="6"/>
  <c r="CW24" i="6"/>
  <c r="CV24" i="6"/>
  <c r="CU24" i="6"/>
  <c r="CS24" i="6"/>
  <c r="CR24" i="6"/>
  <c r="CQ24" i="6"/>
  <c r="CP24" i="6"/>
  <c r="CN24" i="6"/>
  <c r="CM24" i="6"/>
  <c r="CL24" i="6"/>
  <c r="CK24" i="6"/>
  <c r="CI24" i="6"/>
  <c r="CH24" i="6"/>
  <c r="CG24" i="6"/>
  <c r="CF24" i="6"/>
  <c r="CD24" i="6"/>
  <c r="CC24" i="6"/>
  <c r="CA24" i="6"/>
  <c r="BZ24" i="6"/>
  <c r="BX24" i="6"/>
  <c r="BW24" i="6"/>
  <c r="BV24" i="6"/>
  <c r="BU24" i="6"/>
  <c r="BS24" i="6"/>
  <c r="BR24" i="6"/>
  <c r="BQ24" i="6"/>
  <c r="BP24" i="6"/>
  <c r="BN24" i="6"/>
  <c r="BM24" i="6"/>
  <c r="BL24" i="6"/>
  <c r="BK24" i="6"/>
  <c r="BI24" i="6"/>
  <c r="BH24" i="6"/>
  <c r="BG24" i="6"/>
  <c r="BF24" i="6"/>
  <c r="BD24" i="6"/>
  <c r="BC24" i="6"/>
  <c r="BB24" i="6"/>
  <c r="BA24" i="6"/>
  <c r="AY24" i="6"/>
  <c r="AX24" i="6"/>
  <c r="AW24" i="6"/>
  <c r="AV24" i="6"/>
  <c r="AT24" i="6"/>
  <c r="AS24" i="6"/>
  <c r="AR24" i="6"/>
  <c r="AQ24" i="6"/>
  <c r="AO24" i="6"/>
  <c r="AN24" i="6"/>
  <c r="AM24" i="6"/>
  <c r="AL24" i="6"/>
  <c r="AJ24" i="6"/>
  <c r="AI24" i="6"/>
  <c r="AH24" i="6"/>
  <c r="AG24" i="6"/>
  <c r="AE24" i="6"/>
  <c r="AD24" i="6"/>
  <c r="AC24" i="6"/>
  <c r="AB24" i="6"/>
  <c r="Z24" i="6"/>
  <c r="Y24" i="6"/>
  <c r="X24" i="6"/>
  <c r="W24" i="6"/>
  <c r="DB23" i="6"/>
  <c r="DA23" i="6"/>
  <c r="CZ23" i="6"/>
  <c r="CX23" i="6"/>
  <c r="CW23" i="6"/>
  <c r="CV23" i="6"/>
  <c r="CU23" i="6"/>
  <c r="CS23" i="6"/>
  <c r="CR23" i="6"/>
  <c r="CQ23" i="6"/>
  <c r="CP23" i="6"/>
  <c r="CN23" i="6"/>
  <c r="CM23" i="6"/>
  <c r="CL23" i="6"/>
  <c r="CK23" i="6"/>
  <c r="CI23" i="6"/>
  <c r="CH23" i="6"/>
  <c r="CG23" i="6"/>
  <c r="CF23" i="6"/>
  <c r="CD23" i="6"/>
  <c r="CC23" i="6"/>
  <c r="CA23" i="6"/>
  <c r="BZ23" i="6"/>
  <c r="BX23" i="6"/>
  <c r="BW23" i="6"/>
  <c r="BV23" i="6"/>
  <c r="BU23" i="6"/>
  <c r="BS23" i="6"/>
  <c r="BR23" i="6"/>
  <c r="BQ23" i="6"/>
  <c r="BP23" i="6"/>
  <c r="BN23" i="6"/>
  <c r="BM23" i="6"/>
  <c r="BL23" i="6"/>
  <c r="BK23" i="6"/>
  <c r="BI23" i="6"/>
  <c r="BH23" i="6"/>
  <c r="BG23" i="6"/>
  <c r="BF23" i="6"/>
  <c r="BD23" i="6"/>
  <c r="BC23" i="6"/>
  <c r="BB23" i="6"/>
  <c r="BA23" i="6"/>
  <c r="AY23" i="6"/>
  <c r="AX23" i="6"/>
  <c r="AW23" i="6"/>
  <c r="AV23" i="6"/>
  <c r="AT23" i="6"/>
  <c r="AS23" i="6"/>
  <c r="AR23" i="6"/>
  <c r="AQ23" i="6"/>
  <c r="AO23" i="6"/>
  <c r="AN23" i="6"/>
  <c r="AM23" i="6"/>
  <c r="AL23" i="6"/>
  <c r="AJ23" i="6"/>
  <c r="AI23" i="6"/>
  <c r="AH23" i="6"/>
  <c r="AG23" i="6"/>
  <c r="AE23" i="6"/>
  <c r="AD23" i="6"/>
  <c r="AC23" i="6"/>
  <c r="AB23" i="6"/>
  <c r="Z23" i="6"/>
  <c r="Y23" i="6"/>
  <c r="X23" i="6"/>
  <c r="W23" i="6"/>
  <c r="DB22" i="6"/>
  <c r="DA22" i="6"/>
  <c r="CZ22" i="6"/>
  <c r="CX22" i="6"/>
  <c r="CW22" i="6"/>
  <c r="CV22" i="6"/>
  <c r="CU22" i="6"/>
  <c r="CS22" i="6"/>
  <c r="CR22" i="6"/>
  <c r="CQ22" i="6"/>
  <c r="CP22" i="6"/>
  <c r="CN22" i="6"/>
  <c r="CM22" i="6"/>
  <c r="CL22" i="6"/>
  <c r="CK22" i="6"/>
  <c r="CI22" i="6"/>
  <c r="CH22" i="6"/>
  <c r="CG22" i="6"/>
  <c r="CF22" i="6"/>
  <c r="CD22" i="6"/>
  <c r="CC22" i="6"/>
  <c r="CA22" i="6"/>
  <c r="BZ22" i="6"/>
  <c r="BX22" i="6"/>
  <c r="BW22" i="6"/>
  <c r="BV22" i="6"/>
  <c r="BU22" i="6"/>
  <c r="BS22" i="6"/>
  <c r="BR22" i="6"/>
  <c r="BQ22" i="6"/>
  <c r="BP22" i="6"/>
  <c r="BN22" i="6"/>
  <c r="BM22" i="6"/>
  <c r="BL22" i="6"/>
  <c r="BK22" i="6"/>
  <c r="BI22" i="6"/>
  <c r="BH22" i="6"/>
  <c r="BG22" i="6"/>
  <c r="BF22" i="6"/>
  <c r="BD22" i="6"/>
  <c r="BC22" i="6"/>
  <c r="BB22" i="6"/>
  <c r="BA22" i="6"/>
  <c r="AY22" i="6"/>
  <c r="AX22" i="6"/>
  <c r="AW22" i="6"/>
  <c r="AV22" i="6"/>
  <c r="AT22" i="6"/>
  <c r="AS22" i="6"/>
  <c r="AR22" i="6"/>
  <c r="AQ22" i="6"/>
  <c r="AO22" i="6"/>
  <c r="AN22" i="6"/>
  <c r="AM22" i="6"/>
  <c r="AL22" i="6"/>
  <c r="AJ22" i="6"/>
  <c r="AI22" i="6"/>
  <c r="AH22" i="6"/>
  <c r="AG22" i="6"/>
  <c r="AE22" i="6"/>
  <c r="AD22" i="6"/>
  <c r="AC22" i="6"/>
  <c r="AB22" i="6"/>
  <c r="Z22" i="6"/>
  <c r="Y22" i="6"/>
  <c r="X22" i="6"/>
  <c r="W22" i="6"/>
  <c r="DB21" i="6"/>
  <c r="DA21" i="6"/>
  <c r="CZ21" i="6"/>
  <c r="CX21" i="6"/>
  <c r="CW21" i="6"/>
  <c r="CV21" i="6"/>
  <c r="CU21" i="6"/>
  <c r="CS21" i="6"/>
  <c r="CR21" i="6"/>
  <c r="CQ21" i="6"/>
  <c r="CP21" i="6"/>
  <c r="CN21" i="6"/>
  <c r="CM21" i="6"/>
  <c r="CL21" i="6"/>
  <c r="CK21" i="6"/>
  <c r="CI21" i="6"/>
  <c r="CH21" i="6"/>
  <c r="CG21" i="6"/>
  <c r="CF21" i="6"/>
  <c r="CD21" i="6"/>
  <c r="CC21" i="6"/>
  <c r="CA21" i="6"/>
  <c r="BZ21" i="6"/>
  <c r="BX21" i="6"/>
  <c r="BW21" i="6"/>
  <c r="BV21" i="6"/>
  <c r="BU21" i="6"/>
  <c r="BS21" i="6"/>
  <c r="BR21" i="6"/>
  <c r="BQ21" i="6"/>
  <c r="BP21" i="6"/>
  <c r="BN21" i="6"/>
  <c r="BM21" i="6"/>
  <c r="BL21" i="6"/>
  <c r="BK21" i="6"/>
  <c r="BI21" i="6"/>
  <c r="BH21" i="6"/>
  <c r="BG21" i="6"/>
  <c r="BF21" i="6"/>
  <c r="BD21" i="6"/>
  <c r="BC21" i="6"/>
  <c r="BB21" i="6"/>
  <c r="BA21" i="6"/>
  <c r="AY21" i="6"/>
  <c r="AX21" i="6"/>
  <c r="AW21" i="6"/>
  <c r="AV21" i="6"/>
  <c r="AT21" i="6"/>
  <c r="AS21" i="6"/>
  <c r="AR21" i="6"/>
  <c r="AQ21" i="6"/>
  <c r="AO21" i="6"/>
  <c r="AN21" i="6"/>
  <c r="AM21" i="6"/>
  <c r="AL21" i="6"/>
  <c r="AJ21" i="6"/>
  <c r="AI21" i="6"/>
  <c r="AH21" i="6"/>
  <c r="AG21" i="6"/>
  <c r="AE21" i="6"/>
  <c r="AD21" i="6"/>
  <c r="AC21" i="6"/>
  <c r="AB21" i="6"/>
  <c r="Z21" i="6"/>
  <c r="Y21" i="6"/>
  <c r="X21" i="6"/>
  <c r="W21" i="6"/>
  <c r="DB20" i="6"/>
  <c r="DA20" i="6"/>
  <c r="CZ20" i="6"/>
  <c r="CX20" i="6"/>
  <c r="CW20" i="6"/>
  <c r="CV20" i="6"/>
  <c r="CU20" i="6"/>
  <c r="CS20" i="6"/>
  <c r="CR20" i="6"/>
  <c r="CQ20" i="6"/>
  <c r="CP20" i="6"/>
  <c r="CN20" i="6"/>
  <c r="CM20" i="6"/>
  <c r="CL20" i="6"/>
  <c r="CK20" i="6"/>
  <c r="CI20" i="6"/>
  <c r="CH20" i="6"/>
  <c r="CG20" i="6"/>
  <c r="CF20" i="6"/>
  <c r="CD20" i="6"/>
  <c r="CC20" i="6"/>
  <c r="CA20" i="6"/>
  <c r="BZ20" i="6"/>
  <c r="BX20" i="6"/>
  <c r="BW20" i="6"/>
  <c r="BV20" i="6"/>
  <c r="BU20" i="6"/>
  <c r="BS20" i="6"/>
  <c r="BR20" i="6"/>
  <c r="BQ20" i="6"/>
  <c r="BP20" i="6"/>
  <c r="BN20" i="6"/>
  <c r="BM20" i="6"/>
  <c r="BL20" i="6"/>
  <c r="BK20" i="6"/>
  <c r="BI20" i="6"/>
  <c r="BH20" i="6"/>
  <c r="BG20" i="6"/>
  <c r="BF20" i="6"/>
  <c r="BD20" i="6"/>
  <c r="BC20" i="6"/>
  <c r="BB20" i="6"/>
  <c r="BA20" i="6"/>
  <c r="AY20" i="6"/>
  <c r="AX20" i="6"/>
  <c r="AW20" i="6"/>
  <c r="AV20" i="6"/>
  <c r="AT20" i="6"/>
  <c r="AS20" i="6"/>
  <c r="AR20" i="6"/>
  <c r="AQ20" i="6"/>
  <c r="AO20" i="6"/>
  <c r="AN20" i="6"/>
  <c r="AM20" i="6"/>
  <c r="AL20" i="6"/>
  <c r="AJ20" i="6"/>
  <c r="AI20" i="6"/>
  <c r="AH20" i="6"/>
  <c r="AG20" i="6"/>
  <c r="AE20" i="6"/>
  <c r="AD20" i="6"/>
  <c r="AC20" i="6"/>
  <c r="AB20" i="6"/>
  <c r="Z20" i="6"/>
  <c r="Y20" i="6"/>
  <c r="X20" i="6"/>
  <c r="W20" i="6"/>
  <c r="DB19" i="6"/>
  <c r="DA19" i="6"/>
  <c r="CZ19" i="6"/>
  <c r="CX19" i="6"/>
  <c r="CW19" i="6"/>
  <c r="CV19" i="6"/>
  <c r="CU19" i="6"/>
  <c r="CS19" i="6"/>
  <c r="CR19" i="6"/>
  <c r="CQ19" i="6"/>
  <c r="CP19" i="6"/>
  <c r="CN19" i="6"/>
  <c r="CM19" i="6"/>
  <c r="CL19" i="6"/>
  <c r="CK19" i="6"/>
  <c r="CI19" i="6"/>
  <c r="CH19" i="6"/>
  <c r="CG19" i="6"/>
  <c r="CF19" i="6"/>
  <c r="CD19" i="6"/>
  <c r="CC19" i="6"/>
  <c r="CA19" i="6"/>
  <c r="BZ19" i="6"/>
  <c r="BX19" i="6"/>
  <c r="BW19" i="6"/>
  <c r="BV19" i="6"/>
  <c r="BU19" i="6"/>
  <c r="BS19" i="6"/>
  <c r="BR19" i="6"/>
  <c r="BQ19" i="6"/>
  <c r="BP19" i="6"/>
  <c r="BN19" i="6"/>
  <c r="BM19" i="6"/>
  <c r="BL19" i="6"/>
  <c r="BK19" i="6"/>
  <c r="BI19" i="6"/>
  <c r="BH19" i="6"/>
  <c r="BG19" i="6"/>
  <c r="BF19" i="6"/>
  <c r="BD19" i="6"/>
  <c r="BC19" i="6"/>
  <c r="BB19" i="6"/>
  <c r="BA19" i="6"/>
  <c r="AY19" i="6"/>
  <c r="AX19" i="6"/>
  <c r="AW19" i="6"/>
  <c r="AV19" i="6"/>
  <c r="AT19" i="6"/>
  <c r="AS19" i="6"/>
  <c r="AR19" i="6"/>
  <c r="AQ19" i="6"/>
  <c r="AO19" i="6"/>
  <c r="AN19" i="6"/>
  <c r="AM19" i="6"/>
  <c r="AL19" i="6"/>
  <c r="AJ19" i="6"/>
  <c r="AI19" i="6"/>
  <c r="AH19" i="6"/>
  <c r="AG19" i="6"/>
  <c r="AE19" i="6"/>
  <c r="AD19" i="6"/>
  <c r="AC19" i="6"/>
  <c r="AB19" i="6"/>
  <c r="Z19" i="6"/>
  <c r="Y19" i="6"/>
  <c r="X19" i="6"/>
  <c r="W19" i="6"/>
  <c r="DB18" i="6"/>
  <c r="DA18" i="6"/>
  <c r="CZ18" i="6"/>
  <c r="CX18" i="6"/>
  <c r="CW18" i="6"/>
  <c r="CV18" i="6"/>
  <c r="CU18" i="6"/>
  <c r="CS18" i="6"/>
  <c r="CR18" i="6"/>
  <c r="CQ18" i="6"/>
  <c r="CP18" i="6"/>
  <c r="CN18" i="6"/>
  <c r="CM18" i="6"/>
  <c r="CL18" i="6"/>
  <c r="CK18" i="6"/>
  <c r="CI18" i="6"/>
  <c r="CH18" i="6"/>
  <c r="CG18" i="6"/>
  <c r="CF18" i="6"/>
  <c r="CD18" i="6"/>
  <c r="CC18" i="6"/>
  <c r="CA18" i="6"/>
  <c r="BZ18" i="6"/>
  <c r="BX18" i="6"/>
  <c r="BW18" i="6"/>
  <c r="BV18" i="6"/>
  <c r="BU18" i="6"/>
  <c r="BS18" i="6"/>
  <c r="BR18" i="6"/>
  <c r="BQ18" i="6"/>
  <c r="BP18" i="6"/>
  <c r="BN18" i="6"/>
  <c r="BM18" i="6"/>
  <c r="BL18" i="6"/>
  <c r="BK18" i="6"/>
  <c r="BI18" i="6"/>
  <c r="BH18" i="6"/>
  <c r="BG18" i="6"/>
  <c r="BF18" i="6"/>
  <c r="BD18" i="6"/>
  <c r="BC18" i="6"/>
  <c r="BB18" i="6"/>
  <c r="BA18" i="6"/>
  <c r="AY18" i="6"/>
  <c r="AX18" i="6"/>
  <c r="AW18" i="6"/>
  <c r="AV18" i="6"/>
  <c r="AT18" i="6"/>
  <c r="AS18" i="6"/>
  <c r="AR18" i="6"/>
  <c r="AQ18" i="6"/>
  <c r="AO18" i="6"/>
  <c r="AN18" i="6"/>
  <c r="AM18" i="6"/>
  <c r="AL18" i="6"/>
  <c r="AJ18" i="6"/>
  <c r="AI18" i="6"/>
  <c r="AH18" i="6"/>
  <c r="AG18" i="6"/>
  <c r="AE18" i="6"/>
  <c r="AD18" i="6"/>
  <c r="AC18" i="6"/>
  <c r="AB18" i="6"/>
  <c r="Z18" i="6"/>
  <c r="Y18" i="6"/>
  <c r="X18" i="6"/>
  <c r="W18" i="6"/>
  <c r="DB17" i="6"/>
  <c r="DA17" i="6"/>
  <c r="CZ17" i="6"/>
  <c r="CX17" i="6"/>
  <c r="CW17" i="6"/>
  <c r="CV17" i="6"/>
  <c r="CU17" i="6"/>
  <c r="CS17" i="6"/>
  <c r="CR17" i="6"/>
  <c r="CQ17" i="6"/>
  <c r="CP17" i="6"/>
  <c r="CN17" i="6"/>
  <c r="CM17" i="6"/>
  <c r="CL17" i="6"/>
  <c r="CK17" i="6"/>
  <c r="CI17" i="6"/>
  <c r="CH17" i="6"/>
  <c r="CG17" i="6"/>
  <c r="CF17" i="6"/>
  <c r="CD17" i="6"/>
  <c r="CC17" i="6"/>
  <c r="CA17" i="6"/>
  <c r="BZ17" i="6"/>
  <c r="BX17" i="6"/>
  <c r="BW17" i="6"/>
  <c r="BV17" i="6"/>
  <c r="BU17" i="6"/>
  <c r="BS17" i="6"/>
  <c r="BR17" i="6"/>
  <c r="BQ17" i="6"/>
  <c r="BP17" i="6"/>
  <c r="BN17" i="6"/>
  <c r="BM17" i="6"/>
  <c r="BL17" i="6"/>
  <c r="BK17" i="6"/>
  <c r="BI17" i="6"/>
  <c r="BH17" i="6"/>
  <c r="BG17" i="6"/>
  <c r="BF17" i="6"/>
  <c r="BD17" i="6"/>
  <c r="BC17" i="6"/>
  <c r="BB17" i="6"/>
  <c r="BA17" i="6"/>
  <c r="AY17" i="6"/>
  <c r="AX17" i="6"/>
  <c r="AW17" i="6"/>
  <c r="AV17" i="6"/>
  <c r="AT17" i="6"/>
  <c r="AS17" i="6"/>
  <c r="AR17" i="6"/>
  <c r="AQ17" i="6"/>
  <c r="AO17" i="6"/>
  <c r="AN17" i="6"/>
  <c r="AM17" i="6"/>
  <c r="AL17" i="6"/>
  <c r="AJ17" i="6"/>
  <c r="AI17" i="6"/>
  <c r="AH17" i="6"/>
  <c r="AG17" i="6"/>
  <c r="AE17" i="6"/>
  <c r="AD17" i="6"/>
  <c r="AC17" i="6"/>
  <c r="AB17" i="6"/>
  <c r="Z17" i="6"/>
  <c r="Y17" i="6"/>
  <c r="X17" i="6"/>
  <c r="W17" i="6"/>
  <c r="DC26" i="6"/>
  <c r="Q15" i="6"/>
  <c r="P15" i="6"/>
  <c r="O15" i="6"/>
  <c r="U26" i="6" s="1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DC25" i="6"/>
  <c r="Q14" i="6"/>
  <c r="P14" i="6"/>
  <c r="O14" i="6"/>
  <c r="N14" i="6"/>
  <c r="T25" i="6" s="1"/>
  <c r="M14" i="6"/>
  <c r="L14" i="6"/>
  <c r="K14" i="6"/>
  <c r="J14" i="6"/>
  <c r="I14" i="6"/>
  <c r="H14" i="6"/>
  <c r="G14" i="6"/>
  <c r="F14" i="6"/>
  <c r="E14" i="6"/>
  <c r="D14" i="6"/>
  <c r="C14" i="6"/>
  <c r="B14" i="6"/>
  <c r="DC24" i="6"/>
  <c r="Q13" i="6"/>
  <c r="P13" i="6"/>
  <c r="O13" i="6"/>
  <c r="U24" i="6" s="1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DC23" i="6"/>
  <c r="Q12" i="6"/>
  <c r="P12" i="6"/>
  <c r="O12" i="6"/>
  <c r="N12" i="6"/>
  <c r="M12" i="6"/>
  <c r="S23" i="6" s="1"/>
  <c r="L12" i="6"/>
  <c r="R23" i="6" s="1"/>
  <c r="K12" i="6"/>
  <c r="J12" i="6"/>
  <c r="I12" i="6"/>
  <c r="H12" i="6"/>
  <c r="G12" i="6"/>
  <c r="F12" i="6"/>
  <c r="E12" i="6"/>
  <c r="D12" i="6"/>
  <c r="C12" i="6"/>
  <c r="B12" i="6"/>
  <c r="DC22" i="6"/>
  <c r="Q11" i="6"/>
  <c r="P11" i="6"/>
  <c r="O11" i="6"/>
  <c r="N11" i="6"/>
  <c r="M11" i="6"/>
  <c r="S22" i="6" s="1"/>
  <c r="L11" i="6"/>
  <c r="K11" i="6"/>
  <c r="J11" i="6"/>
  <c r="I11" i="6"/>
  <c r="H11" i="6"/>
  <c r="G11" i="6"/>
  <c r="F11" i="6"/>
  <c r="E11" i="6"/>
  <c r="D11" i="6"/>
  <c r="C11" i="6"/>
  <c r="B11" i="6"/>
  <c r="DC21" i="6"/>
  <c r="Q10" i="6"/>
  <c r="P10" i="6"/>
  <c r="O10" i="6"/>
  <c r="N10" i="6"/>
  <c r="T21" i="6" s="1"/>
  <c r="M10" i="6"/>
  <c r="L10" i="6"/>
  <c r="K10" i="6"/>
  <c r="J10" i="6"/>
  <c r="I10" i="6"/>
  <c r="H10" i="6"/>
  <c r="G10" i="6"/>
  <c r="F10" i="6"/>
  <c r="E10" i="6"/>
  <c r="D10" i="6"/>
  <c r="C10" i="6"/>
  <c r="B10" i="6"/>
  <c r="DC20" i="6"/>
  <c r="Q9" i="6"/>
  <c r="P9" i="6"/>
  <c r="O9" i="6"/>
  <c r="U20" i="6" s="1"/>
  <c r="N9" i="6"/>
  <c r="M9" i="6"/>
  <c r="L9" i="6"/>
  <c r="K9" i="6"/>
  <c r="J9" i="6"/>
  <c r="I9" i="6"/>
  <c r="H9" i="6"/>
  <c r="G9" i="6"/>
  <c r="F9" i="6"/>
  <c r="E9" i="6"/>
  <c r="D9" i="6"/>
  <c r="C9" i="6"/>
  <c r="B9" i="6"/>
  <c r="DC19" i="6"/>
  <c r="Q8" i="6"/>
  <c r="P8" i="6"/>
  <c r="O8" i="6"/>
  <c r="U19" i="6" s="1"/>
  <c r="N8" i="6"/>
  <c r="M8" i="6"/>
  <c r="S19" i="6" s="1"/>
  <c r="L8" i="6"/>
  <c r="R19" i="6" s="1"/>
  <c r="K8" i="6"/>
  <c r="J8" i="6"/>
  <c r="I8" i="6"/>
  <c r="H8" i="6"/>
  <c r="G8" i="6"/>
  <c r="F8" i="6"/>
  <c r="E8" i="6"/>
  <c r="D8" i="6"/>
  <c r="C8" i="6"/>
  <c r="B8" i="6"/>
  <c r="DC18" i="6"/>
  <c r="Q7" i="6"/>
  <c r="P7" i="6"/>
  <c r="O7" i="6"/>
  <c r="N7" i="6"/>
  <c r="M7" i="6"/>
  <c r="S18" i="6" s="1"/>
  <c r="L7" i="6"/>
  <c r="K7" i="6"/>
  <c r="J7" i="6"/>
  <c r="I7" i="6"/>
  <c r="H7" i="6"/>
  <c r="G7" i="6"/>
  <c r="F7" i="6"/>
  <c r="E7" i="6"/>
  <c r="D7" i="6"/>
  <c r="C7" i="6"/>
  <c r="B7" i="6"/>
  <c r="DC17" i="6"/>
  <c r="Q6" i="6"/>
  <c r="P6" i="6"/>
  <c r="O6" i="6"/>
  <c r="U17" i="6" s="1"/>
  <c r="N6" i="6"/>
  <c r="T17" i="6" s="1"/>
  <c r="M6" i="6"/>
  <c r="L6" i="6"/>
  <c r="K6" i="6"/>
  <c r="J6" i="6"/>
  <c r="I6" i="6"/>
  <c r="H6" i="6"/>
  <c r="G6" i="6"/>
  <c r="F6" i="6"/>
  <c r="E6" i="6"/>
  <c r="D6" i="6"/>
  <c r="C6" i="6"/>
  <c r="B6" i="6"/>
  <c r="O63" i="5"/>
  <c r="J63" i="5"/>
  <c r="E63" i="5"/>
  <c r="O62" i="5"/>
  <c r="J62" i="5"/>
  <c r="E62" i="5"/>
  <c r="O61" i="5"/>
  <c r="J61" i="5"/>
  <c r="E61" i="5"/>
  <c r="O60" i="5"/>
  <c r="J60" i="5"/>
  <c r="E60" i="5"/>
  <c r="O58" i="5"/>
  <c r="L58" i="5"/>
  <c r="J58" i="5"/>
  <c r="E58" i="5"/>
  <c r="O57" i="5"/>
  <c r="L57" i="5"/>
  <c r="J57" i="5"/>
  <c r="E57" i="5"/>
  <c r="O56" i="5"/>
  <c r="J56" i="5"/>
  <c r="E56" i="5"/>
  <c r="O55" i="5"/>
  <c r="J55" i="5"/>
  <c r="E55" i="5"/>
  <c r="O53" i="5"/>
  <c r="J53" i="5"/>
  <c r="E53" i="5"/>
  <c r="O52" i="5"/>
  <c r="J52" i="5"/>
  <c r="E52" i="5"/>
  <c r="O51" i="5"/>
  <c r="J51" i="5"/>
  <c r="E51" i="5"/>
  <c r="O50" i="5"/>
  <c r="J50" i="5"/>
  <c r="E50" i="5"/>
  <c r="J48" i="5"/>
  <c r="E48" i="5"/>
  <c r="O47" i="5"/>
  <c r="J47" i="5"/>
  <c r="E47" i="5"/>
  <c r="O46" i="5"/>
  <c r="J46" i="5"/>
  <c r="E46" i="5"/>
  <c r="O45" i="5"/>
  <c r="J45" i="5"/>
  <c r="E45" i="5"/>
  <c r="O43" i="5"/>
  <c r="J43" i="5"/>
  <c r="E43" i="5"/>
  <c r="O42" i="5"/>
  <c r="J42" i="5"/>
  <c r="E42" i="5"/>
  <c r="O41" i="5"/>
  <c r="J41" i="5"/>
  <c r="E41" i="5"/>
  <c r="O40" i="5"/>
  <c r="J40" i="5"/>
  <c r="E40" i="5"/>
  <c r="O38" i="5"/>
  <c r="J38" i="5"/>
  <c r="E38" i="5"/>
  <c r="O37" i="5"/>
  <c r="J37" i="5"/>
  <c r="E37" i="5"/>
  <c r="O36" i="5"/>
  <c r="J36" i="5"/>
  <c r="E36" i="5"/>
  <c r="O35" i="5"/>
  <c r="J35" i="5"/>
  <c r="E35" i="5"/>
  <c r="O33" i="5"/>
  <c r="J33" i="5"/>
  <c r="E33" i="5"/>
  <c r="O32" i="5"/>
  <c r="J32" i="5"/>
  <c r="E32" i="5"/>
  <c r="O31" i="5"/>
  <c r="J31" i="5"/>
  <c r="E31" i="5"/>
  <c r="O30" i="5"/>
  <c r="J30" i="5"/>
  <c r="E30" i="5"/>
  <c r="O28" i="5"/>
  <c r="J28" i="5"/>
  <c r="E28" i="5"/>
  <c r="O27" i="5"/>
  <c r="J27" i="5"/>
  <c r="E27" i="5"/>
  <c r="O26" i="5"/>
  <c r="J26" i="5"/>
  <c r="E26" i="5"/>
  <c r="O25" i="5"/>
  <c r="J25" i="5"/>
  <c r="E25" i="5"/>
  <c r="O23" i="5"/>
  <c r="J23" i="5"/>
  <c r="E23" i="5"/>
  <c r="O22" i="5"/>
  <c r="J22" i="5"/>
  <c r="E22" i="5"/>
  <c r="O21" i="5"/>
  <c r="J21" i="5"/>
  <c r="E21" i="5"/>
  <c r="O20" i="5"/>
  <c r="J20" i="5"/>
  <c r="E20" i="5"/>
  <c r="N18" i="5"/>
  <c r="M18" i="5"/>
  <c r="I18" i="5"/>
  <c r="H18" i="5"/>
  <c r="G18" i="5"/>
  <c r="D18" i="5"/>
  <c r="C18" i="5"/>
  <c r="B18" i="5"/>
  <c r="N17" i="5"/>
  <c r="M17" i="5"/>
  <c r="L17" i="5"/>
  <c r="I17" i="5"/>
  <c r="H17" i="5"/>
  <c r="G17" i="5"/>
  <c r="D17" i="5"/>
  <c r="C17" i="5"/>
  <c r="B17" i="5"/>
  <c r="N16" i="5"/>
  <c r="M16" i="5"/>
  <c r="L16" i="5"/>
  <c r="I16" i="5"/>
  <c r="H16" i="5"/>
  <c r="G16" i="5"/>
  <c r="D16" i="5"/>
  <c r="C16" i="5"/>
  <c r="B16" i="5"/>
  <c r="N15" i="5"/>
  <c r="M15" i="5"/>
  <c r="L15" i="5"/>
  <c r="I15" i="5"/>
  <c r="H15" i="5"/>
  <c r="G15" i="5"/>
  <c r="D15" i="5"/>
  <c r="C15" i="5"/>
  <c r="B15" i="5"/>
  <c r="N14" i="5"/>
  <c r="M14" i="5"/>
  <c r="L14" i="5"/>
  <c r="I14" i="5"/>
  <c r="H14" i="5"/>
  <c r="G14" i="5"/>
  <c r="D14" i="5"/>
  <c r="C14" i="5"/>
  <c r="B14" i="5"/>
  <c r="N13" i="5"/>
  <c r="M13" i="5"/>
  <c r="L13" i="5"/>
  <c r="I13" i="5"/>
  <c r="H13" i="5"/>
  <c r="G13" i="5"/>
  <c r="D13" i="5"/>
  <c r="C13" i="5"/>
  <c r="B13" i="5"/>
  <c r="N12" i="5"/>
  <c r="M12" i="5"/>
  <c r="L12" i="5"/>
  <c r="I12" i="5"/>
  <c r="H12" i="5"/>
  <c r="G12" i="5"/>
  <c r="D12" i="5"/>
  <c r="C12" i="5"/>
  <c r="B12" i="5"/>
  <c r="N11" i="5"/>
  <c r="M11" i="5"/>
  <c r="L11" i="5"/>
  <c r="I11" i="5"/>
  <c r="H11" i="5"/>
  <c r="G11" i="5"/>
  <c r="D11" i="5"/>
  <c r="C11" i="5"/>
  <c r="B11" i="5"/>
  <c r="N10" i="5"/>
  <c r="M10" i="5"/>
  <c r="L10" i="5"/>
  <c r="I10" i="5"/>
  <c r="H10" i="5"/>
  <c r="G10" i="5"/>
  <c r="D10" i="5"/>
  <c r="C10" i="5"/>
  <c r="B10" i="5"/>
  <c r="A45" i="8"/>
  <c r="BP37" i="8"/>
  <c r="BO37" i="8"/>
  <c r="BM37" i="8"/>
  <c r="BL37" i="8"/>
  <c r="BK37" i="8"/>
  <c r="BJ37" i="8"/>
  <c r="BH37" i="8"/>
  <c r="BG37" i="8"/>
  <c r="BF37" i="8"/>
  <c r="BE37" i="8"/>
  <c r="BC37" i="8"/>
  <c r="BB37" i="8"/>
  <c r="BA37" i="8"/>
  <c r="AZ37" i="8"/>
  <c r="AX37" i="8"/>
  <c r="AW37" i="8"/>
  <c r="AV37" i="8"/>
  <c r="AU37" i="8"/>
  <c r="AS37" i="8"/>
  <c r="AR37" i="8"/>
  <c r="AQ37" i="8"/>
  <c r="AP37" i="8"/>
  <c r="AN37" i="8"/>
  <c r="AM37" i="8"/>
  <c r="AL37" i="8"/>
  <c r="AK37" i="8"/>
  <c r="AI37" i="8"/>
  <c r="AH37" i="8"/>
  <c r="AG37" i="8"/>
  <c r="AF37" i="8"/>
  <c r="AD37" i="8"/>
  <c r="AC37" i="8"/>
  <c r="AB37" i="8"/>
  <c r="AA37" i="8"/>
  <c r="Y37" i="8"/>
  <c r="X37" i="8"/>
  <c r="W37" i="8"/>
  <c r="V37" i="8"/>
  <c r="T37" i="8"/>
  <c r="S37" i="8"/>
  <c r="R37" i="8"/>
  <c r="Q37" i="8"/>
  <c r="O37" i="8"/>
  <c r="N37" i="8"/>
  <c r="BP36" i="8"/>
  <c r="BO36" i="8"/>
  <c r="BM36" i="8"/>
  <c r="BL36" i="8"/>
  <c r="BK36" i="8"/>
  <c r="BJ36" i="8"/>
  <c r="BH36" i="8"/>
  <c r="BG36" i="8"/>
  <c r="BF36" i="8"/>
  <c r="BE36" i="8"/>
  <c r="BC36" i="8"/>
  <c r="BB36" i="8"/>
  <c r="BA36" i="8"/>
  <c r="AZ36" i="8"/>
  <c r="AX36" i="8"/>
  <c r="AW36" i="8"/>
  <c r="AV36" i="8"/>
  <c r="AU36" i="8"/>
  <c r="AS36" i="8"/>
  <c r="AR36" i="8"/>
  <c r="AQ36" i="8"/>
  <c r="AP36" i="8"/>
  <c r="AN36" i="8"/>
  <c r="AM36" i="8"/>
  <c r="AL36" i="8"/>
  <c r="AK36" i="8"/>
  <c r="AI36" i="8"/>
  <c r="AH36" i="8"/>
  <c r="AG36" i="8"/>
  <c r="AF36" i="8"/>
  <c r="AD36" i="8"/>
  <c r="AC36" i="8"/>
  <c r="AB36" i="8"/>
  <c r="AA36" i="8"/>
  <c r="Y36" i="8"/>
  <c r="X36" i="8"/>
  <c r="W36" i="8"/>
  <c r="V36" i="8"/>
  <c r="T36" i="8"/>
  <c r="S36" i="8"/>
  <c r="R36" i="8"/>
  <c r="Q36" i="8"/>
  <c r="O36" i="8"/>
  <c r="N36" i="8"/>
  <c r="BP35" i="8"/>
  <c r="BO35" i="8"/>
  <c r="BM35" i="8"/>
  <c r="BL35" i="8"/>
  <c r="BK35" i="8"/>
  <c r="BJ35" i="8"/>
  <c r="BH35" i="8"/>
  <c r="BG35" i="8"/>
  <c r="BF35" i="8"/>
  <c r="BE35" i="8"/>
  <c r="BC35" i="8"/>
  <c r="BB35" i="8"/>
  <c r="BA35" i="8"/>
  <c r="AZ35" i="8"/>
  <c r="AX35" i="8"/>
  <c r="AW35" i="8"/>
  <c r="AV35" i="8"/>
  <c r="AU35" i="8"/>
  <c r="AS35" i="8"/>
  <c r="AR35" i="8"/>
  <c r="AQ35" i="8"/>
  <c r="AP35" i="8"/>
  <c r="AN35" i="8"/>
  <c r="AM35" i="8"/>
  <c r="AL35" i="8"/>
  <c r="AK35" i="8"/>
  <c r="AI35" i="8"/>
  <c r="AH35" i="8"/>
  <c r="AG35" i="8"/>
  <c r="AF35" i="8"/>
  <c r="AD35" i="8"/>
  <c r="AC35" i="8"/>
  <c r="AB35" i="8"/>
  <c r="AA35" i="8"/>
  <c r="Y35" i="8"/>
  <c r="X35" i="8"/>
  <c r="W35" i="8"/>
  <c r="V35" i="8"/>
  <c r="T35" i="8"/>
  <c r="S35" i="8"/>
  <c r="R35" i="8"/>
  <c r="Q35" i="8"/>
  <c r="O35" i="8"/>
  <c r="N35" i="8"/>
  <c r="BP34" i="8"/>
  <c r="BO34" i="8"/>
  <c r="BM34" i="8"/>
  <c r="BL34" i="8"/>
  <c r="BK34" i="8"/>
  <c r="BJ34" i="8"/>
  <c r="BH34" i="8"/>
  <c r="BG34" i="8"/>
  <c r="BF34" i="8"/>
  <c r="BE34" i="8"/>
  <c r="BC34" i="8"/>
  <c r="BB34" i="8"/>
  <c r="BA34" i="8"/>
  <c r="AZ34" i="8"/>
  <c r="AX34" i="8"/>
  <c r="AW34" i="8"/>
  <c r="AV34" i="8"/>
  <c r="AU34" i="8"/>
  <c r="AS34" i="8"/>
  <c r="AR34" i="8"/>
  <c r="AQ34" i="8"/>
  <c r="AP34" i="8"/>
  <c r="AN34" i="8"/>
  <c r="AM34" i="8"/>
  <c r="AL34" i="8"/>
  <c r="AK34" i="8"/>
  <c r="AI34" i="8"/>
  <c r="AH34" i="8"/>
  <c r="AG34" i="8"/>
  <c r="AF34" i="8"/>
  <c r="AD34" i="8"/>
  <c r="AC34" i="8"/>
  <c r="AB34" i="8"/>
  <c r="AA34" i="8"/>
  <c r="Y34" i="8"/>
  <c r="X34" i="8"/>
  <c r="W34" i="8"/>
  <c r="V34" i="8"/>
  <c r="T34" i="8"/>
  <c r="S34" i="8"/>
  <c r="R34" i="8"/>
  <c r="Q34" i="8"/>
  <c r="O34" i="8"/>
  <c r="N34" i="8"/>
  <c r="BP33" i="8"/>
  <c r="BO33" i="8"/>
  <c r="BM33" i="8"/>
  <c r="BL33" i="8"/>
  <c r="BK33" i="8"/>
  <c r="BJ33" i="8"/>
  <c r="BH33" i="8"/>
  <c r="BG33" i="8"/>
  <c r="BF33" i="8"/>
  <c r="BE33" i="8"/>
  <c r="BC33" i="8"/>
  <c r="BB33" i="8"/>
  <c r="BA33" i="8"/>
  <c r="AZ33" i="8"/>
  <c r="AX33" i="8"/>
  <c r="AW33" i="8"/>
  <c r="AV33" i="8"/>
  <c r="AU33" i="8"/>
  <c r="AS33" i="8"/>
  <c r="AR33" i="8"/>
  <c r="AQ33" i="8"/>
  <c r="AP33" i="8"/>
  <c r="AN33" i="8"/>
  <c r="AM33" i="8"/>
  <c r="AL33" i="8"/>
  <c r="AK33" i="8"/>
  <c r="AI33" i="8"/>
  <c r="AH33" i="8"/>
  <c r="AG33" i="8"/>
  <c r="AF33" i="8"/>
  <c r="AD33" i="8"/>
  <c r="AC33" i="8"/>
  <c r="AB33" i="8"/>
  <c r="AA33" i="8"/>
  <c r="Y33" i="8"/>
  <c r="X33" i="8"/>
  <c r="W33" i="8"/>
  <c r="V33" i="8"/>
  <c r="T33" i="8"/>
  <c r="S33" i="8"/>
  <c r="R33" i="8"/>
  <c r="Q33" i="8"/>
  <c r="O33" i="8"/>
  <c r="N33" i="8"/>
  <c r="BP32" i="8"/>
  <c r="BO32" i="8"/>
  <c r="BM32" i="8"/>
  <c r="BL32" i="8"/>
  <c r="BK32" i="8"/>
  <c r="BJ32" i="8"/>
  <c r="BH32" i="8"/>
  <c r="BG32" i="8"/>
  <c r="BF32" i="8"/>
  <c r="BE32" i="8"/>
  <c r="BC32" i="8"/>
  <c r="BB32" i="8"/>
  <c r="BA32" i="8"/>
  <c r="AZ32" i="8"/>
  <c r="AX32" i="8"/>
  <c r="AW32" i="8"/>
  <c r="AV32" i="8"/>
  <c r="AU32" i="8"/>
  <c r="AS32" i="8"/>
  <c r="AR32" i="8"/>
  <c r="AQ32" i="8"/>
  <c r="AP32" i="8"/>
  <c r="AN32" i="8"/>
  <c r="AM32" i="8"/>
  <c r="AL32" i="8"/>
  <c r="AK32" i="8"/>
  <c r="AI32" i="8"/>
  <c r="AH32" i="8"/>
  <c r="AG32" i="8"/>
  <c r="AF32" i="8"/>
  <c r="AD32" i="8"/>
  <c r="AC32" i="8"/>
  <c r="AB32" i="8"/>
  <c r="AA32" i="8"/>
  <c r="Y32" i="8"/>
  <c r="X32" i="8"/>
  <c r="W32" i="8"/>
  <c r="V32" i="8"/>
  <c r="T32" i="8"/>
  <c r="S32" i="8"/>
  <c r="R32" i="8"/>
  <c r="Q32" i="8"/>
  <c r="O32" i="8"/>
  <c r="N32" i="8"/>
  <c r="BP31" i="8"/>
  <c r="BO31" i="8"/>
  <c r="BM31" i="8"/>
  <c r="BL31" i="8"/>
  <c r="BK31" i="8"/>
  <c r="BJ31" i="8"/>
  <c r="BH31" i="8"/>
  <c r="BG31" i="8"/>
  <c r="BF31" i="8"/>
  <c r="BE31" i="8"/>
  <c r="BC31" i="8"/>
  <c r="BB31" i="8"/>
  <c r="BA31" i="8"/>
  <c r="AZ31" i="8"/>
  <c r="AX31" i="8"/>
  <c r="AW31" i="8"/>
  <c r="AV31" i="8"/>
  <c r="AU31" i="8"/>
  <c r="AS31" i="8"/>
  <c r="AR31" i="8"/>
  <c r="AQ31" i="8"/>
  <c r="AP31" i="8"/>
  <c r="AN31" i="8"/>
  <c r="AM31" i="8"/>
  <c r="AL31" i="8"/>
  <c r="AK31" i="8"/>
  <c r="AI31" i="8"/>
  <c r="AH31" i="8"/>
  <c r="AG31" i="8"/>
  <c r="AF31" i="8"/>
  <c r="AD31" i="8"/>
  <c r="AC31" i="8"/>
  <c r="AB31" i="8"/>
  <c r="AA31" i="8"/>
  <c r="Y31" i="8"/>
  <c r="X31" i="8"/>
  <c r="W31" i="8"/>
  <c r="V31" i="8"/>
  <c r="T31" i="8"/>
  <c r="S31" i="8"/>
  <c r="R31" i="8"/>
  <c r="Q31" i="8"/>
  <c r="O31" i="8"/>
  <c r="N31" i="8"/>
  <c r="BP30" i="8"/>
  <c r="BO30" i="8"/>
  <c r="BM30" i="8"/>
  <c r="BL30" i="8"/>
  <c r="BK30" i="8"/>
  <c r="BJ30" i="8"/>
  <c r="BH30" i="8"/>
  <c r="BG30" i="8"/>
  <c r="BF30" i="8"/>
  <c r="BE30" i="8"/>
  <c r="BC30" i="8"/>
  <c r="BB30" i="8"/>
  <c r="BA30" i="8"/>
  <c r="AZ30" i="8"/>
  <c r="AX30" i="8"/>
  <c r="AW30" i="8"/>
  <c r="AV30" i="8"/>
  <c r="AU30" i="8"/>
  <c r="AS30" i="8"/>
  <c r="AR30" i="8"/>
  <c r="AQ30" i="8"/>
  <c r="AP30" i="8"/>
  <c r="AN30" i="8"/>
  <c r="AM30" i="8"/>
  <c r="AL30" i="8"/>
  <c r="AK30" i="8"/>
  <c r="AI30" i="8"/>
  <c r="AH30" i="8"/>
  <c r="AG30" i="8"/>
  <c r="AF30" i="8"/>
  <c r="AD30" i="8"/>
  <c r="AC30" i="8"/>
  <c r="AB30" i="8"/>
  <c r="AA30" i="8"/>
  <c r="Y30" i="8"/>
  <c r="X30" i="8"/>
  <c r="W30" i="8"/>
  <c r="V30" i="8"/>
  <c r="T30" i="8"/>
  <c r="S30" i="8"/>
  <c r="R30" i="8"/>
  <c r="Q30" i="8"/>
  <c r="O30" i="8"/>
  <c r="N30" i="8"/>
  <c r="BP29" i="8"/>
  <c r="BO29" i="8"/>
  <c r="BM29" i="8"/>
  <c r="BL29" i="8"/>
  <c r="BK29" i="8"/>
  <c r="BJ29" i="8"/>
  <c r="BH29" i="8"/>
  <c r="BG29" i="8"/>
  <c r="BF29" i="8"/>
  <c r="BE29" i="8"/>
  <c r="BC29" i="8"/>
  <c r="BB29" i="8"/>
  <c r="BA29" i="8"/>
  <c r="AZ29" i="8"/>
  <c r="AX29" i="8"/>
  <c r="AW29" i="8"/>
  <c r="AV29" i="8"/>
  <c r="AU29" i="8"/>
  <c r="AS29" i="8"/>
  <c r="AR29" i="8"/>
  <c r="AQ29" i="8"/>
  <c r="AP29" i="8"/>
  <c r="AN29" i="8"/>
  <c r="AM29" i="8"/>
  <c r="AL29" i="8"/>
  <c r="AK29" i="8"/>
  <c r="AI29" i="8"/>
  <c r="AH29" i="8"/>
  <c r="AG29" i="8"/>
  <c r="AF29" i="8"/>
  <c r="AD29" i="8"/>
  <c r="AC29" i="8"/>
  <c r="AB29" i="8"/>
  <c r="AA29" i="8"/>
  <c r="Y29" i="8"/>
  <c r="X29" i="8"/>
  <c r="W29" i="8"/>
  <c r="V29" i="8"/>
  <c r="T29" i="8"/>
  <c r="S29" i="8"/>
  <c r="R29" i="8"/>
  <c r="Q29" i="8"/>
  <c r="O29" i="8"/>
  <c r="N29" i="8"/>
  <c r="BP28" i="8"/>
  <c r="BO28" i="8"/>
  <c r="BM28" i="8"/>
  <c r="BL28" i="8"/>
  <c r="BK28" i="8"/>
  <c r="BJ28" i="8"/>
  <c r="BH28" i="8"/>
  <c r="BG28" i="8"/>
  <c r="BF28" i="8"/>
  <c r="BE28" i="8"/>
  <c r="BC28" i="8"/>
  <c r="BB28" i="8"/>
  <c r="BA28" i="8"/>
  <c r="AZ28" i="8"/>
  <c r="AX28" i="8"/>
  <c r="AW28" i="8"/>
  <c r="AV28" i="8"/>
  <c r="AU28" i="8"/>
  <c r="AS28" i="8"/>
  <c r="AR28" i="8"/>
  <c r="AQ28" i="8"/>
  <c r="AP28" i="8"/>
  <c r="AN28" i="8"/>
  <c r="AM28" i="8"/>
  <c r="AL28" i="8"/>
  <c r="AK28" i="8"/>
  <c r="AI28" i="8"/>
  <c r="AH28" i="8"/>
  <c r="AG28" i="8"/>
  <c r="AF28" i="8"/>
  <c r="AD28" i="8"/>
  <c r="AC28" i="8"/>
  <c r="AB28" i="8"/>
  <c r="AA28" i="8"/>
  <c r="Y28" i="8"/>
  <c r="X28" i="8"/>
  <c r="W28" i="8"/>
  <c r="V28" i="8"/>
  <c r="T28" i="8"/>
  <c r="S28" i="8"/>
  <c r="R28" i="8"/>
  <c r="Q28" i="8"/>
  <c r="O28" i="8"/>
  <c r="N28" i="8"/>
  <c r="BP26" i="8"/>
  <c r="BO26" i="8"/>
  <c r="BM26" i="8"/>
  <c r="L26" i="8" s="1"/>
  <c r="BL26" i="8"/>
  <c r="BK26" i="8"/>
  <c r="BJ26" i="8"/>
  <c r="BH26" i="8"/>
  <c r="K26" i="8" s="1"/>
  <c r="BG26" i="8"/>
  <c r="BF26" i="8"/>
  <c r="BE26" i="8"/>
  <c r="BC26" i="8"/>
  <c r="J26" i="8" s="1"/>
  <c r="BB26" i="8"/>
  <c r="BA26" i="8"/>
  <c r="AZ26" i="8"/>
  <c r="AX26" i="8"/>
  <c r="I26" i="8" s="1"/>
  <c r="AW26" i="8"/>
  <c r="AV26" i="8"/>
  <c r="AU26" i="8"/>
  <c r="AS26" i="8"/>
  <c r="H26" i="8" s="1"/>
  <c r="AR26" i="8"/>
  <c r="AQ26" i="8"/>
  <c r="AP26" i="8"/>
  <c r="AN26" i="8"/>
  <c r="G26" i="8" s="1"/>
  <c r="AM26" i="8"/>
  <c r="AL26" i="8"/>
  <c r="AK26" i="8"/>
  <c r="AI26" i="8"/>
  <c r="F26" i="8" s="1"/>
  <c r="AH26" i="8"/>
  <c r="AG26" i="8"/>
  <c r="AF26" i="8"/>
  <c r="AD26" i="8"/>
  <c r="E26" i="8" s="1"/>
  <c r="AC26" i="8"/>
  <c r="AB26" i="8"/>
  <c r="AA26" i="8"/>
  <c r="Y26" i="8"/>
  <c r="D26" i="8" s="1"/>
  <c r="X26" i="8"/>
  <c r="W26" i="8"/>
  <c r="V26" i="8"/>
  <c r="T26" i="8"/>
  <c r="C26" i="8" s="1"/>
  <c r="S26" i="8"/>
  <c r="R26" i="8"/>
  <c r="BP25" i="8"/>
  <c r="BO25" i="8"/>
  <c r="BM25" i="8"/>
  <c r="L25" i="8" s="1"/>
  <c r="BL25" i="8"/>
  <c r="BK25" i="8"/>
  <c r="BJ25" i="8"/>
  <c r="BH25" i="8"/>
  <c r="K25" i="8" s="1"/>
  <c r="BG25" i="8"/>
  <c r="BF25" i="8"/>
  <c r="BE25" i="8"/>
  <c r="BC25" i="8"/>
  <c r="J25" i="8" s="1"/>
  <c r="BB25" i="8"/>
  <c r="BA25" i="8"/>
  <c r="AZ25" i="8"/>
  <c r="AX25" i="8"/>
  <c r="I25" i="8" s="1"/>
  <c r="AW25" i="8"/>
  <c r="AV25" i="8"/>
  <c r="AU25" i="8"/>
  <c r="AS25" i="8"/>
  <c r="H25" i="8" s="1"/>
  <c r="AR25" i="8"/>
  <c r="AQ25" i="8"/>
  <c r="AP25" i="8"/>
  <c r="AN25" i="8"/>
  <c r="G25" i="8" s="1"/>
  <c r="AM25" i="8"/>
  <c r="AL25" i="8"/>
  <c r="AK25" i="8"/>
  <c r="AI25" i="8"/>
  <c r="F25" i="8" s="1"/>
  <c r="AH25" i="8"/>
  <c r="AG25" i="8"/>
  <c r="AF25" i="8"/>
  <c r="AD25" i="8"/>
  <c r="E25" i="8" s="1"/>
  <c r="AC25" i="8"/>
  <c r="AB25" i="8"/>
  <c r="AA25" i="8"/>
  <c r="Y25" i="8"/>
  <c r="D25" i="8" s="1"/>
  <c r="X25" i="8"/>
  <c r="W25" i="8"/>
  <c r="V25" i="8"/>
  <c r="T25" i="8"/>
  <c r="C25" i="8" s="1"/>
  <c r="S25" i="8"/>
  <c r="R25" i="8"/>
  <c r="BP24" i="8"/>
  <c r="BO24" i="8"/>
  <c r="BM24" i="8"/>
  <c r="L24" i="8" s="1"/>
  <c r="BL24" i="8"/>
  <c r="BK24" i="8"/>
  <c r="BJ24" i="8"/>
  <c r="BH24" i="8"/>
  <c r="K24" i="8" s="1"/>
  <c r="BG24" i="8"/>
  <c r="BF24" i="8"/>
  <c r="BE24" i="8"/>
  <c r="BC24" i="8"/>
  <c r="J24" i="8" s="1"/>
  <c r="BB24" i="8"/>
  <c r="BA24" i="8"/>
  <c r="AZ24" i="8"/>
  <c r="AX24" i="8"/>
  <c r="I24" i="8" s="1"/>
  <c r="AW24" i="8"/>
  <c r="AV24" i="8"/>
  <c r="AU24" i="8"/>
  <c r="AS24" i="8"/>
  <c r="H24" i="8" s="1"/>
  <c r="AR24" i="8"/>
  <c r="AQ24" i="8"/>
  <c r="AP24" i="8"/>
  <c r="AN24" i="8"/>
  <c r="G24" i="8" s="1"/>
  <c r="AM24" i="8"/>
  <c r="AL24" i="8"/>
  <c r="AK24" i="8"/>
  <c r="AI24" i="8"/>
  <c r="F24" i="8" s="1"/>
  <c r="AH24" i="8"/>
  <c r="AG24" i="8"/>
  <c r="AF24" i="8"/>
  <c r="AD24" i="8"/>
  <c r="E24" i="8" s="1"/>
  <c r="AC24" i="8"/>
  <c r="AB24" i="8"/>
  <c r="AA24" i="8"/>
  <c r="Y24" i="8"/>
  <c r="D24" i="8" s="1"/>
  <c r="X24" i="8"/>
  <c r="W24" i="8"/>
  <c r="V24" i="8"/>
  <c r="T24" i="8"/>
  <c r="C24" i="8" s="1"/>
  <c r="S24" i="8"/>
  <c r="R24" i="8"/>
  <c r="BP23" i="8"/>
  <c r="BO23" i="8"/>
  <c r="BM23" i="8"/>
  <c r="L23" i="8" s="1"/>
  <c r="BL23" i="8"/>
  <c r="BK23" i="8"/>
  <c r="BJ23" i="8"/>
  <c r="BH23" i="8"/>
  <c r="K23" i="8" s="1"/>
  <c r="BG23" i="8"/>
  <c r="BF23" i="8"/>
  <c r="BE23" i="8"/>
  <c r="BC23" i="8"/>
  <c r="J23" i="8" s="1"/>
  <c r="BB23" i="8"/>
  <c r="BA23" i="8"/>
  <c r="AZ23" i="8"/>
  <c r="AX23" i="8"/>
  <c r="I23" i="8" s="1"/>
  <c r="AW23" i="8"/>
  <c r="AV23" i="8"/>
  <c r="AU23" i="8"/>
  <c r="AS23" i="8"/>
  <c r="H23" i="8" s="1"/>
  <c r="AR23" i="8"/>
  <c r="AQ23" i="8"/>
  <c r="AP23" i="8"/>
  <c r="AN23" i="8"/>
  <c r="G23" i="8" s="1"/>
  <c r="AM23" i="8"/>
  <c r="AL23" i="8"/>
  <c r="AK23" i="8"/>
  <c r="AI23" i="8"/>
  <c r="F23" i="8" s="1"/>
  <c r="AH23" i="8"/>
  <c r="AG23" i="8"/>
  <c r="AF23" i="8"/>
  <c r="AD23" i="8"/>
  <c r="E23" i="8" s="1"/>
  <c r="AC23" i="8"/>
  <c r="AB23" i="8"/>
  <c r="AA23" i="8"/>
  <c r="Y23" i="8"/>
  <c r="D23" i="8" s="1"/>
  <c r="X23" i="8"/>
  <c r="W23" i="8"/>
  <c r="V23" i="8"/>
  <c r="T23" i="8"/>
  <c r="C23" i="8" s="1"/>
  <c r="S23" i="8"/>
  <c r="R23" i="8"/>
  <c r="BP22" i="8"/>
  <c r="BO22" i="8"/>
  <c r="BM22" i="8"/>
  <c r="L22" i="8" s="1"/>
  <c r="BL22" i="8"/>
  <c r="BK22" i="8"/>
  <c r="BJ22" i="8"/>
  <c r="BH22" i="8"/>
  <c r="K22" i="8" s="1"/>
  <c r="BG22" i="8"/>
  <c r="BF22" i="8"/>
  <c r="BE22" i="8"/>
  <c r="BC22" i="8"/>
  <c r="J22" i="8" s="1"/>
  <c r="BB22" i="8"/>
  <c r="BA22" i="8"/>
  <c r="AZ22" i="8"/>
  <c r="AX22" i="8"/>
  <c r="I22" i="8" s="1"/>
  <c r="AW22" i="8"/>
  <c r="AV22" i="8"/>
  <c r="AU22" i="8"/>
  <c r="AS22" i="8"/>
  <c r="H22" i="8" s="1"/>
  <c r="AR22" i="8"/>
  <c r="AQ22" i="8"/>
  <c r="AP22" i="8"/>
  <c r="AN22" i="8"/>
  <c r="G22" i="8" s="1"/>
  <c r="AM22" i="8"/>
  <c r="AL22" i="8"/>
  <c r="AK22" i="8"/>
  <c r="AI22" i="8"/>
  <c r="F22" i="8" s="1"/>
  <c r="AH22" i="8"/>
  <c r="AG22" i="8"/>
  <c r="AF22" i="8"/>
  <c r="AD22" i="8"/>
  <c r="E22" i="8" s="1"/>
  <c r="AC22" i="8"/>
  <c r="AB22" i="8"/>
  <c r="AA22" i="8"/>
  <c r="Y22" i="8"/>
  <c r="D22" i="8" s="1"/>
  <c r="X22" i="8"/>
  <c r="W22" i="8"/>
  <c r="V22" i="8"/>
  <c r="T22" i="8"/>
  <c r="C22" i="8" s="1"/>
  <c r="S22" i="8"/>
  <c r="R22" i="8"/>
  <c r="BP21" i="8"/>
  <c r="BO21" i="8"/>
  <c r="BM21" i="8"/>
  <c r="L21" i="8" s="1"/>
  <c r="BL21" i="8"/>
  <c r="BK21" i="8"/>
  <c r="BJ21" i="8"/>
  <c r="BH21" i="8"/>
  <c r="K21" i="8" s="1"/>
  <c r="BG21" i="8"/>
  <c r="BF21" i="8"/>
  <c r="BE21" i="8"/>
  <c r="BC21" i="8"/>
  <c r="J21" i="8" s="1"/>
  <c r="BB21" i="8"/>
  <c r="BA21" i="8"/>
  <c r="AZ21" i="8"/>
  <c r="AX21" i="8"/>
  <c r="I21" i="8" s="1"/>
  <c r="AW21" i="8"/>
  <c r="AV21" i="8"/>
  <c r="AU21" i="8"/>
  <c r="AS21" i="8"/>
  <c r="H21" i="8" s="1"/>
  <c r="AR21" i="8"/>
  <c r="AQ21" i="8"/>
  <c r="AP21" i="8"/>
  <c r="AN21" i="8"/>
  <c r="G21" i="8" s="1"/>
  <c r="AM21" i="8"/>
  <c r="AL21" i="8"/>
  <c r="AK21" i="8"/>
  <c r="AI21" i="8"/>
  <c r="F21" i="8" s="1"/>
  <c r="AH21" i="8"/>
  <c r="AG21" i="8"/>
  <c r="AF21" i="8"/>
  <c r="AD21" i="8"/>
  <c r="E21" i="8" s="1"/>
  <c r="AC21" i="8"/>
  <c r="AB21" i="8"/>
  <c r="AA21" i="8"/>
  <c r="Y21" i="8"/>
  <c r="D21" i="8" s="1"/>
  <c r="X21" i="8"/>
  <c r="W21" i="8"/>
  <c r="V21" i="8"/>
  <c r="T21" i="8"/>
  <c r="C21" i="8" s="1"/>
  <c r="S21" i="8"/>
  <c r="R21" i="8"/>
  <c r="BP20" i="8"/>
  <c r="BO20" i="8"/>
  <c r="BM20" i="8"/>
  <c r="L20" i="8" s="1"/>
  <c r="BL20" i="8"/>
  <c r="BK20" i="8"/>
  <c r="BJ20" i="8"/>
  <c r="BH20" i="8"/>
  <c r="K20" i="8" s="1"/>
  <c r="BG20" i="8"/>
  <c r="BF20" i="8"/>
  <c r="BE20" i="8"/>
  <c r="BC20" i="8"/>
  <c r="J20" i="8" s="1"/>
  <c r="BB20" i="8"/>
  <c r="BA20" i="8"/>
  <c r="AZ20" i="8"/>
  <c r="AX20" i="8"/>
  <c r="I20" i="8" s="1"/>
  <c r="AW20" i="8"/>
  <c r="AV20" i="8"/>
  <c r="AU20" i="8"/>
  <c r="AS20" i="8"/>
  <c r="H20" i="8" s="1"/>
  <c r="AR20" i="8"/>
  <c r="AQ20" i="8"/>
  <c r="AP20" i="8"/>
  <c r="AN20" i="8"/>
  <c r="G20" i="8" s="1"/>
  <c r="AM20" i="8"/>
  <c r="AL20" i="8"/>
  <c r="AK20" i="8"/>
  <c r="AI20" i="8"/>
  <c r="F20" i="8" s="1"/>
  <c r="AH20" i="8"/>
  <c r="AG20" i="8"/>
  <c r="AF20" i="8"/>
  <c r="AD20" i="8"/>
  <c r="E20" i="8" s="1"/>
  <c r="AC20" i="8"/>
  <c r="AB20" i="8"/>
  <c r="AA20" i="8"/>
  <c r="Y20" i="8"/>
  <c r="D20" i="8" s="1"/>
  <c r="X20" i="8"/>
  <c r="W20" i="8"/>
  <c r="V20" i="8"/>
  <c r="T20" i="8"/>
  <c r="C20" i="8" s="1"/>
  <c r="S20" i="8"/>
  <c r="R20" i="8"/>
  <c r="BP19" i="8"/>
  <c r="BO19" i="8"/>
  <c r="BM19" i="8"/>
  <c r="L19" i="8" s="1"/>
  <c r="BL19" i="8"/>
  <c r="BK19" i="8"/>
  <c r="BJ19" i="8"/>
  <c r="BH19" i="8"/>
  <c r="K19" i="8" s="1"/>
  <c r="BG19" i="8"/>
  <c r="BF19" i="8"/>
  <c r="BE19" i="8"/>
  <c r="BC19" i="8"/>
  <c r="J19" i="8" s="1"/>
  <c r="BB19" i="8"/>
  <c r="BA19" i="8"/>
  <c r="AZ19" i="8"/>
  <c r="AX19" i="8"/>
  <c r="I19" i="8" s="1"/>
  <c r="AW19" i="8"/>
  <c r="AV19" i="8"/>
  <c r="AU19" i="8"/>
  <c r="AS19" i="8"/>
  <c r="H19" i="8" s="1"/>
  <c r="AR19" i="8"/>
  <c r="AQ19" i="8"/>
  <c r="AP19" i="8"/>
  <c r="AN19" i="8"/>
  <c r="G19" i="8" s="1"/>
  <c r="AM19" i="8"/>
  <c r="AL19" i="8"/>
  <c r="AK19" i="8"/>
  <c r="AI19" i="8"/>
  <c r="F19" i="8" s="1"/>
  <c r="AH19" i="8"/>
  <c r="AG19" i="8"/>
  <c r="AF19" i="8"/>
  <c r="AD19" i="8"/>
  <c r="E19" i="8" s="1"/>
  <c r="AC19" i="8"/>
  <c r="AB19" i="8"/>
  <c r="AA19" i="8"/>
  <c r="Y19" i="8"/>
  <c r="D19" i="8" s="1"/>
  <c r="X19" i="8"/>
  <c r="W19" i="8"/>
  <c r="V19" i="8"/>
  <c r="T19" i="8"/>
  <c r="C19" i="8" s="1"/>
  <c r="S19" i="8"/>
  <c r="R19" i="8"/>
  <c r="BP18" i="8"/>
  <c r="BO18" i="8"/>
  <c r="BM18" i="8"/>
  <c r="L18" i="8" s="1"/>
  <c r="BL18" i="8"/>
  <c r="BK18" i="8"/>
  <c r="BJ18" i="8"/>
  <c r="BH18" i="8"/>
  <c r="K18" i="8" s="1"/>
  <c r="BG18" i="8"/>
  <c r="BF18" i="8"/>
  <c r="BE18" i="8"/>
  <c r="BC18" i="8"/>
  <c r="J18" i="8" s="1"/>
  <c r="BB18" i="8"/>
  <c r="BA18" i="8"/>
  <c r="AZ18" i="8"/>
  <c r="AX18" i="8"/>
  <c r="I18" i="8" s="1"/>
  <c r="AW18" i="8"/>
  <c r="AV18" i="8"/>
  <c r="AU18" i="8"/>
  <c r="AS18" i="8"/>
  <c r="H18" i="8" s="1"/>
  <c r="AR18" i="8"/>
  <c r="AQ18" i="8"/>
  <c r="AP18" i="8"/>
  <c r="AN18" i="8"/>
  <c r="G18" i="8" s="1"/>
  <c r="AM18" i="8"/>
  <c r="AL18" i="8"/>
  <c r="AK18" i="8"/>
  <c r="AI18" i="8"/>
  <c r="F18" i="8" s="1"/>
  <c r="AH18" i="8"/>
  <c r="AG18" i="8"/>
  <c r="AF18" i="8"/>
  <c r="AD18" i="8"/>
  <c r="E18" i="8" s="1"/>
  <c r="AC18" i="8"/>
  <c r="AB18" i="8"/>
  <c r="AA18" i="8"/>
  <c r="Y18" i="8"/>
  <c r="D18" i="8" s="1"/>
  <c r="X18" i="8"/>
  <c r="W18" i="8"/>
  <c r="V18" i="8"/>
  <c r="T18" i="8"/>
  <c r="C18" i="8" s="1"/>
  <c r="S18" i="8"/>
  <c r="R18" i="8"/>
  <c r="BP17" i="8"/>
  <c r="BO17" i="8"/>
  <c r="BM17" i="8"/>
  <c r="L17" i="8" s="1"/>
  <c r="BL17" i="8"/>
  <c r="BK17" i="8"/>
  <c r="BJ17" i="8"/>
  <c r="BH17" i="8"/>
  <c r="K17" i="8" s="1"/>
  <c r="BG17" i="8"/>
  <c r="BF17" i="8"/>
  <c r="BE17" i="8"/>
  <c r="BC17" i="8"/>
  <c r="J17" i="8" s="1"/>
  <c r="BB17" i="8"/>
  <c r="BA17" i="8"/>
  <c r="AZ17" i="8"/>
  <c r="AX17" i="8"/>
  <c r="I17" i="8" s="1"/>
  <c r="AW17" i="8"/>
  <c r="AV17" i="8"/>
  <c r="AU17" i="8"/>
  <c r="AS17" i="8"/>
  <c r="H17" i="8" s="1"/>
  <c r="AR17" i="8"/>
  <c r="AQ17" i="8"/>
  <c r="AP17" i="8"/>
  <c r="AN17" i="8"/>
  <c r="G17" i="8" s="1"/>
  <c r="AM17" i="8"/>
  <c r="AL17" i="8"/>
  <c r="AK17" i="8"/>
  <c r="AI17" i="8"/>
  <c r="F17" i="8" s="1"/>
  <c r="AH17" i="8"/>
  <c r="AG17" i="8"/>
  <c r="AF17" i="8"/>
  <c r="AD17" i="8"/>
  <c r="E17" i="8" s="1"/>
  <c r="AC17" i="8"/>
  <c r="AB17" i="8"/>
  <c r="AA17" i="8"/>
  <c r="Y17" i="8"/>
  <c r="D17" i="8" s="1"/>
  <c r="X17" i="8"/>
  <c r="W17" i="8"/>
  <c r="V17" i="8"/>
  <c r="T17" i="8"/>
  <c r="C17" i="8" s="1"/>
  <c r="S17" i="8"/>
  <c r="R17" i="8"/>
  <c r="L15" i="8"/>
  <c r="K15" i="8"/>
  <c r="J15" i="8"/>
  <c r="I15" i="8"/>
  <c r="H15" i="8"/>
  <c r="G15" i="8"/>
  <c r="F15" i="8"/>
  <c r="E15" i="8"/>
  <c r="D15" i="8"/>
  <c r="C15" i="8"/>
  <c r="B15" i="8"/>
  <c r="L14" i="8"/>
  <c r="K14" i="8"/>
  <c r="J14" i="8"/>
  <c r="I14" i="8"/>
  <c r="H14" i="8"/>
  <c r="G14" i="8"/>
  <c r="F14" i="8"/>
  <c r="E14" i="8"/>
  <c r="D14" i="8"/>
  <c r="C14" i="8"/>
  <c r="B14" i="8"/>
  <c r="L13" i="8"/>
  <c r="K13" i="8"/>
  <c r="J13" i="8"/>
  <c r="I13" i="8"/>
  <c r="H13" i="8"/>
  <c r="G13" i="8"/>
  <c r="F13" i="8"/>
  <c r="E13" i="8"/>
  <c r="D13" i="8"/>
  <c r="C13" i="8"/>
  <c r="B13" i="8"/>
  <c r="L12" i="8"/>
  <c r="K12" i="8"/>
  <c r="J12" i="8"/>
  <c r="I12" i="8"/>
  <c r="H12" i="8"/>
  <c r="G12" i="8"/>
  <c r="F12" i="8"/>
  <c r="E12" i="8"/>
  <c r="D12" i="8"/>
  <c r="C12" i="8"/>
  <c r="B12" i="8"/>
  <c r="L11" i="8"/>
  <c r="K11" i="8"/>
  <c r="J11" i="8"/>
  <c r="I11" i="8"/>
  <c r="H11" i="8"/>
  <c r="G11" i="8"/>
  <c r="F11" i="8"/>
  <c r="E11" i="8"/>
  <c r="D11" i="8"/>
  <c r="C11" i="8"/>
  <c r="B11" i="8"/>
  <c r="L10" i="8"/>
  <c r="K10" i="8"/>
  <c r="J10" i="8"/>
  <c r="I10" i="8"/>
  <c r="H10" i="8"/>
  <c r="G10" i="8"/>
  <c r="F10" i="8"/>
  <c r="E10" i="8"/>
  <c r="D10" i="8"/>
  <c r="C10" i="8"/>
  <c r="B10" i="8"/>
  <c r="L9" i="8"/>
  <c r="K9" i="8"/>
  <c r="J9" i="8"/>
  <c r="I9" i="8"/>
  <c r="H9" i="8"/>
  <c r="G9" i="8"/>
  <c r="F9" i="8"/>
  <c r="E9" i="8"/>
  <c r="D9" i="8"/>
  <c r="C9" i="8"/>
  <c r="B9" i="8"/>
  <c r="L8" i="8"/>
  <c r="K8" i="8"/>
  <c r="J8" i="8"/>
  <c r="I8" i="8"/>
  <c r="H8" i="8"/>
  <c r="G8" i="8"/>
  <c r="F8" i="8"/>
  <c r="E8" i="8"/>
  <c r="D8" i="8"/>
  <c r="C8" i="8"/>
  <c r="B8" i="8"/>
  <c r="L7" i="8"/>
  <c r="K7" i="8"/>
  <c r="J7" i="8"/>
  <c r="I7" i="8"/>
  <c r="H7" i="8"/>
  <c r="G7" i="8"/>
  <c r="F7" i="8"/>
  <c r="E7" i="8"/>
  <c r="D7" i="8"/>
  <c r="C7" i="8"/>
  <c r="B7" i="8"/>
  <c r="L6" i="8"/>
  <c r="K6" i="8"/>
  <c r="J6" i="8"/>
  <c r="I6" i="8"/>
  <c r="H6" i="8"/>
  <c r="G6" i="8"/>
  <c r="F6" i="8"/>
  <c r="E6" i="8"/>
  <c r="D6" i="8"/>
  <c r="C6" i="8"/>
  <c r="B6" i="8"/>
  <c r="C20" i="17"/>
  <c r="C19" i="17"/>
  <c r="C18" i="17"/>
  <c r="C17" i="17"/>
  <c r="C16" i="17"/>
  <c r="C15" i="17"/>
  <c r="J13" i="17"/>
  <c r="I13" i="17"/>
  <c r="H13" i="17"/>
  <c r="G13" i="17"/>
  <c r="F13" i="17"/>
  <c r="E13" i="17"/>
  <c r="D13" i="17"/>
  <c r="C13" i="17"/>
  <c r="J12" i="17"/>
  <c r="I12" i="17"/>
  <c r="H12" i="17"/>
  <c r="G12" i="17"/>
  <c r="F12" i="17"/>
  <c r="E12" i="17"/>
  <c r="D12" i="17"/>
  <c r="C12" i="17"/>
  <c r="J11" i="17"/>
  <c r="I11" i="17"/>
  <c r="H11" i="17"/>
  <c r="G11" i="17"/>
  <c r="F11" i="17"/>
  <c r="E11" i="17"/>
  <c r="D11" i="17"/>
  <c r="C11" i="17"/>
  <c r="J10" i="17"/>
  <c r="I10" i="17"/>
  <c r="H10" i="17"/>
  <c r="G10" i="17"/>
  <c r="F10" i="17"/>
  <c r="E10" i="17"/>
  <c r="D10" i="17"/>
  <c r="C10" i="17"/>
  <c r="J9" i="17"/>
  <c r="I9" i="17"/>
  <c r="H9" i="17"/>
  <c r="G9" i="17"/>
  <c r="F9" i="17"/>
  <c r="E9" i="17"/>
  <c r="D9" i="17"/>
  <c r="C9" i="17"/>
  <c r="J8" i="17"/>
  <c r="I8" i="17"/>
  <c r="H8" i="17"/>
  <c r="G8" i="17"/>
  <c r="F8" i="17"/>
  <c r="E8" i="17"/>
  <c r="D8" i="17"/>
  <c r="J7" i="17"/>
  <c r="I7" i="17"/>
  <c r="H7" i="17"/>
  <c r="G7" i="17"/>
  <c r="F7" i="17"/>
  <c r="E7" i="17"/>
  <c r="D7" i="17"/>
  <c r="A46" i="13"/>
  <c r="AS37" i="13"/>
  <c r="AR37" i="13"/>
  <c r="AP37" i="13"/>
  <c r="AO37" i="13"/>
  <c r="AN37" i="13"/>
  <c r="AM37" i="13"/>
  <c r="AK37" i="13"/>
  <c r="AJ37" i="13"/>
  <c r="AI37" i="13"/>
  <c r="AH37" i="13"/>
  <c r="AF37" i="13"/>
  <c r="AE37" i="13"/>
  <c r="AD37" i="13"/>
  <c r="AC37" i="13"/>
  <c r="AA37" i="13"/>
  <c r="Z37" i="13"/>
  <c r="Y37" i="13"/>
  <c r="X37" i="13"/>
  <c r="V37" i="13"/>
  <c r="U37" i="13"/>
  <c r="T37" i="13"/>
  <c r="S37" i="13"/>
  <c r="Q37" i="13"/>
  <c r="P37" i="13"/>
  <c r="AS36" i="13"/>
  <c r="AR36" i="13"/>
  <c r="AP36" i="13"/>
  <c r="AO36" i="13"/>
  <c r="AN36" i="13"/>
  <c r="AM36" i="13"/>
  <c r="AK36" i="13"/>
  <c r="AJ36" i="13"/>
  <c r="AI36" i="13"/>
  <c r="AH36" i="13"/>
  <c r="AF36" i="13"/>
  <c r="AE36" i="13"/>
  <c r="AD36" i="13"/>
  <c r="AC36" i="13"/>
  <c r="AA36" i="13"/>
  <c r="Z36" i="13"/>
  <c r="Y36" i="13"/>
  <c r="X36" i="13"/>
  <c r="V36" i="13"/>
  <c r="U36" i="13"/>
  <c r="T36" i="13"/>
  <c r="S36" i="13"/>
  <c r="Q36" i="13"/>
  <c r="P36" i="13"/>
  <c r="AS35" i="13"/>
  <c r="AR35" i="13"/>
  <c r="AP35" i="13"/>
  <c r="AO35" i="13"/>
  <c r="AN35" i="13"/>
  <c r="AM35" i="13"/>
  <c r="AK35" i="13"/>
  <c r="AJ35" i="13"/>
  <c r="AI35" i="13"/>
  <c r="AH35" i="13"/>
  <c r="AF35" i="13"/>
  <c r="AE35" i="13"/>
  <c r="AD35" i="13"/>
  <c r="AC35" i="13"/>
  <c r="AA35" i="13"/>
  <c r="Z35" i="13"/>
  <c r="Y35" i="13"/>
  <c r="X35" i="13"/>
  <c r="V35" i="13"/>
  <c r="U35" i="13"/>
  <c r="T35" i="13"/>
  <c r="S35" i="13"/>
  <c r="Q35" i="13"/>
  <c r="P35" i="13"/>
  <c r="AS34" i="13"/>
  <c r="AR34" i="13"/>
  <c r="AP34" i="13"/>
  <c r="AO34" i="13"/>
  <c r="AN34" i="13"/>
  <c r="AM34" i="13"/>
  <c r="AK34" i="13"/>
  <c r="AJ34" i="13"/>
  <c r="AI34" i="13"/>
  <c r="AH34" i="13"/>
  <c r="AF34" i="13"/>
  <c r="AE34" i="13"/>
  <c r="AD34" i="13"/>
  <c r="AC34" i="13"/>
  <c r="AA34" i="13"/>
  <c r="Z34" i="13"/>
  <c r="Y34" i="13"/>
  <c r="X34" i="13"/>
  <c r="V34" i="13"/>
  <c r="U34" i="13"/>
  <c r="T34" i="13"/>
  <c r="S34" i="13"/>
  <c r="Q34" i="13"/>
  <c r="P34" i="13"/>
  <c r="AS33" i="13"/>
  <c r="AR33" i="13"/>
  <c r="AP33" i="13"/>
  <c r="AO33" i="13"/>
  <c r="AN33" i="13"/>
  <c r="AM33" i="13"/>
  <c r="AK33" i="13"/>
  <c r="AJ33" i="13"/>
  <c r="AI33" i="13"/>
  <c r="AH33" i="13"/>
  <c r="AF33" i="13"/>
  <c r="AE33" i="13"/>
  <c r="AD33" i="13"/>
  <c r="AC33" i="13"/>
  <c r="AA33" i="13"/>
  <c r="Z33" i="13"/>
  <c r="Y33" i="13"/>
  <c r="X33" i="13"/>
  <c r="V33" i="13"/>
  <c r="U33" i="13"/>
  <c r="T33" i="13"/>
  <c r="S33" i="13"/>
  <c r="Q33" i="13"/>
  <c r="P33" i="13"/>
  <c r="AS32" i="13"/>
  <c r="AR32" i="13"/>
  <c r="AP32" i="13"/>
  <c r="AO32" i="13"/>
  <c r="AN32" i="13"/>
  <c r="AM32" i="13"/>
  <c r="AK32" i="13"/>
  <c r="AJ32" i="13"/>
  <c r="AI32" i="13"/>
  <c r="AH32" i="13"/>
  <c r="AF32" i="13"/>
  <c r="AE32" i="13"/>
  <c r="AD32" i="13"/>
  <c r="AC32" i="13"/>
  <c r="AA32" i="13"/>
  <c r="Z32" i="13"/>
  <c r="Y32" i="13"/>
  <c r="X32" i="13"/>
  <c r="V32" i="13"/>
  <c r="U32" i="13"/>
  <c r="T32" i="13"/>
  <c r="S32" i="13"/>
  <c r="Q32" i="13"/>
  <c r="P32" i="13"/>
  <c r="AS31" i="13"/>
  <c r="AR31" i="13"/>
  <c r="AP31" i="13"/>
  <c r="AO31" i="13"/>
  <c r="AN31" i="13"/>
  <c r="AM31" i="13"/>
  <c r="AK31" i="13"/>
  <c r="AJ31" i="13"/>
  <c r="AI31" i="13"/>
  <c r="AH31" i="13"/>
  <c r="AF31" i="13"/>
  <c r="AE31" i="13"/>
  <c r="AD31" i="13"/>
  <c r="AC31" i="13"/>
  <c r="AA31" i="13"/>
  <c r="Z31" i="13"/>
  <c r="Y31" i="13"/>
  <c r="X31" i="13"/>
  <c r="V31" i="13"/>
  <c r="U31" i="13"/>
  <c r="T31" i="13"/>
  <c r="S31" i="13"/>
  <c r="Q31" i="13"/>
  <c r="P31" i="13"/>
  <c r="AS30" i="13"/>
  <c r="AR30" i="13"/>
  <c r="AP30" i="13"/>
  <c r="AO30" i="13"/>
  <c r="AN30" i="13"/>
  <c r="AM30" i="13"/>
  <c r="AK30" i="13"/>
  <c r="AJ30" i="13"/>
  <c r="AI30" i="13"/>
  <c r="AH30" i="13"/>
  <c r="AF30" i="13"/>
  <c r="AE30" i="13"/>
  <c r="AD30" i="13"/>
  <c r="AC30" i="13"/>
  <c r="AA30" i="13"/>
  <c r="Z30" i="13"/>
  <c r="Y30" i="13"/>
  <c r="X30" i="13"/>
  <c r="V30" i="13"/>
  <c r="U30" i="13"/>
  <c r="T30" i="13"/>
  <c r="S30" i="13"/>
  <c r="Q30" i="13"/>
  <c r="P30" i="13"/>
  <c r="AS29" i="13"/>
  <c r="AR29" i="13"/>
  <c r="AP29" i="13"/>
  <c r="AO29" i="13"/>
  <c r="AN29" i="13"/>
  <c r="AM29" i="13"/>
  <c r="AK29" i="13"/>
  <c r="AJ29" i="13"/>
  <c r="AI29" i="13"/>
  <c r="AH29" i="13"/>
  <c r="AF29" i="13"/>
  <c r="AE29" i="13"/>
  <c r="AD29" i="13"/>
  <c r="AC29" i="13"/>
  <c r="AA29" i="13"/>
  <c r="Z29" i="13"/>
  <c r="Y29" i="13"/>
  <c r="X29" i="13"/>
  <c r="V29" i="13"/>
  <c r="U29" i="13"/>
  <c r="T29" i="13"/>
  <c r="S29" i="13"/>
  <c r="Q29" i="13"/>
  <c r="P29" i="13"/>
  <c r="AS28" i="13"/>
  <c r="AR28" i="13"/>
  <c r="AP28" i="13"/>
  <c r="AO28" i="13"/>
  <c r="AN28" i="13"/>
  <c r="AM28" i="13"/>
  <c r="AK28" i="13"/>
  <c r="AJ28" i="13"/>
  <c r="AI28" i="13"/>
  <c r="AH28" i="13"/>
  <c r="AF28" i="13"/>
  <c r="AE28" i="13"/>
  <c r="AD28" i="13"/>
  <c r="AC28" i="13"/>
  <c r="AA28" i="13"/>
  <c r="Z28" i="13"/>
  <c r="Y28" i="13"/>
  <c r="X28" i="13"/>
  <c r="V28" i="13"/>
  <c r="U28" i="13"/>
  <c r="T28" i="13"/>
  <c r="S28" i="13"/>
  <c r="Q28" i="13"/>
  <c r="P28" i="13"/>
  <c r="AS26" i="13"/>
  <c r="AR26" i="13"/>
  <c r="AP26" i="13"/>
  <c r="G26" i="13" s="1"/>
  <c r="AO26" i="13"/>
  <c r="AN26" i="13"/>
  <c r="AM26" i="13"/>
  <c r="AK26" i="13"/>
  <c r="F26" i="13" s="1"/>
  <c r="AJ26" i="13"/>
  <c r="AI26" i="13"/>
  <c r="AH26" i="13"/>
  <c r="AF26" i="13"/>
  <c r="E26" i="13" s="1"/>
  <c r="AE26" i="13"/>
  <c r="AD26" i="13"/>
  <c r="AC26" i="13"/>
  <c r="AA26" i="13"/>
  <c r="D26" i="13" s="1"/>
  <c r="Z26" i="13"/>
  <c r="Y26" i="13"/>
  <c r="X26" i="13"/>
  <c r="V26" i="13"/>
  <c r="C26" i="13" s="1"/>
  <c r="U26" i="13"/>
  <c r="T26" i="13"/>
  <c r="AS25" i="13"/>
  <c r="AR25" i="13"/>
  <c r="AP25" i="13"/>
  <c r="G25" i="13" s="1"/>
  <c r="AO25" i="13"/>
  <c r="AN25" i="13"/>
  <c r="AM25" i="13"/>
  <c r="AK25" i="13"/>
  <c r="F25" i="13" s="1"/>
  <c r="AJ25" i="13"/>
  <c r="AI25" i="13"/>
  <c r="AH25" i="13"/>
  <c r="AF25" i="13"/>
  <c r="E25" i="13" s="1"/>
  <c r="AE25" i="13"/>
  <c r="AD25" i="13"/>
  <c r="AC25" i="13"/>
  <c r="AA25" i="13"/>
  <c r="D25" i="13" s="1"/>
  <c r="Z25" i="13"/>
  <c r="Y25" i="13"/>
  <c r="X25" i="13"/>
  <c r="V25" i="13"/>
  <c r="C25" i="13" s="1"/>
  <c r="U25" i="13"/>
  <c r="T25" i="13"/>
  <c r="AS24" i="13"/>
  <c r="AR24" i="13"/>
  <c r="AP24" i="13"/>
  <c r="G24" i="13" s="1"/>
  <c r="AO24" i="13"/>
  <c r="AN24" i="13"/>
  <c r="AM24" i="13"/>
  <c r="AK24" i="13"/>
  <c r="F24" i="13" s="1"/>
  <c r="AJ24" i="13"/>
  <c r="AI24" i="13"/>
  <c r="AH24" i="13"/>
  <c r="AF24" i="13"/>
  <c r="E24" i="13" s="1"/>
  <c r="AE24" i="13"/>
  <c r="AD24" i="13"/>
  <c r="AC24" i="13"/>
  <c r="AA24" i="13"/>
  <c r="D24" i="13" s="1"/>
  <c r="Z24" i="13"/>
  <c r="Y24" i="13"/>
  <c r="X24" i="13"/>
  <c r="V24" i="13"/>
  <c r="C24" i="13" s="1"/>
  <c r="U24" i="13"/>
  <c r="T24" i="13"/>
  <c r="AS23" i="13"/>
  <c r="AR23" i="13"/>
  <c r="AP23" i="13"/>
  <c r="G23" i="13" s="1"/>
  <c r="AO23" i="13"/>
  <c r="AN23" i="13"/>
  <c r="AM23" i="13"/>
  <c r="AK23" i="13"/>
  <c r="F23" i="13" s="1"/>
  <c r="AJ23" i="13"/>
  <c r="AI23" i="13"/>
  <c r="AH23" i="13"/>
  <c r="AF23" i="13"/>
  <c r="E23" i="13" s="1"/>
  <c r="AE23" i="13"/>
  <c r="AD23" i="13"/>
  <c r="AC23" i="13"/>
  <c r="AA23" i="13"/>
  <c r="D23" i="13" s="1"/>
  <c r="Z23" i="13"/>
  <c r="Y23" i="13"/>
  <c r="X23" i="13"/>
  <c r="V23" i="13"/>
  <c r="C23" i="13" s="1"/>
  <c r="U23" i="13"/>
  <c r="T23" i="13"/>
  <c r="AS22" i="13"/>
  <c r="AR22" i="13"/>
  <c r="AP22" i="13"/>
  <c r="G22" i="13" s="1"/>
  <c r="AO22" i="13"/>
  <c r="AN22" i="13"/>
  <c r="AM22" i="13"/>
  <c r="AK22" i="13"/>
  <c r="F22" i="13" s="1"/>
  <c r="AJ22" i="13"/>
  <c r="AI22" i="13"/>
  <c r="AH22" i="13"/>
  <c r="AF22" i="13"/>
  <c r="E22" i="13" s="1"/>
  <c r="AE22" i="13"/>
  <c r="AD22" i="13"/>
  <c r="AC22" i="13"/>
  <c r="AA22" i="13"/>
  <c r="D22" i="13" s="1"/>
  <c r="Z22" i="13"/>
  <c r="Y22" i="13"/>
  <c r="X22" i="13"/>
  <c r="V22" i="13"/>
  <c r="C22" i="13" s="1"/>
  <c r="U22" i="13"/>
  <c r="T22" i="13"/>
  <c r="AS21" i="13"/>
  <c r="AR21" i="13"/>
  <c r="AP21" i="13"/>
  <c r="G21" i="13" s="1"/>
  <c r="AO21" i="13"/>
  <c r="AN21" i="13"/>
  <c r="AM21" i="13"/>
  <c r="AK21" i="13"/>
  <c r="F21" i="13" s="1"/>
  <c r="AJ21" i="13"/>
  <c r="AI21" i="13"/>
  <c r="AH21" i="13"/>
  <c r="AF21" i="13"/>
  <c r="E21" i="13" s="1"/>
  <c r="AE21" i="13"/>
  <c r="AD21" i="13"/>
  <c r="AC21" i="13"/>
  <c r="AA21" i="13"/>
  <c r="D21" i="13" s="1"/>
  <c r="Z21" i="13"/>
  <c r="Y21" i="13"/>
  <c r="X21" i="13"/>
  <c r="V21" i="13"/>
  <c r="C21" i="13" s="1"/>
  <c r="U21" i="13"/>
  <c r="T21" i="13"/>
  <c r="AS20" i="13"/>
  <c r="AR20" i="13"/>
  <c r="AP20" i="13"/>
  <c r="G20" i="13" s="1"/>
  <c r="AO20" i="13"/>
  <c r="AN20" i="13"/>
  <c r="AM20" i="13"/>
  <c r="AK20" i="13"/>
  <c r="F20" i="13" s="1"/>
  <c r="AJ20" i="13"/>
  <c r="AI20" i="13"/>
  <c r="AH20" i="13"/>
  <c r="AF20" i="13"/>
  <c r="E20" i="13" s="1"/>
  <c r="AE20" i="13"/>
  <c r="AD20" i="13"/>
  <c r="AC20" i="13"/>
  <c r="AA20" i="13"/>
  <c r="D20" i="13" s="1"/>
  <c r="Z20" i="13"/>
  <c r="Y20" i="13"/>
  <c r="X20" i="13"/>
  <c r="V20" i="13"/>
  <c r="C20" i="13" s="1"/>
  <c r="U20" i="13"/>
  <c r="T20" i="13"/>
  <c r="AS19" i="13"/>
  <c r="AR19" i="13"/>
  <c r="AP19" i="13"/>
  <c r="G19" i="13" s="1"/>
  <c r="AO19" i="13"/>
  <c r="AN19" i="13"/>
  <c r="AM19" i="13"/>
  <c r="AK19" i="13"/>
  <c r="F19" i="13" s="1"/>
  <c r="AJ19" i="13"/>
  <c r="AI19" i="13"/>
  <c r="AH19" i="13"/>
  <c r="AF19" i="13"/>
  <c r="E19" i="13" s="1"/>
  <c r="AE19" i="13"/>
  <c r="AD19" i="13"/>
  <c r="AC19" i="13"/>
  <c r="AA19" i="13"/>
  <c r="D19" i="13" s="1"/>
  <c r="Z19" i="13"/>
  <c r="Y19" i="13"/>
  <c r="X19" i="13"/>
  <c r="V19" i="13"/>
  <c r="C19" i="13" s="1"/>
  <c r="U19" i="13"/>
  <c r="T19" i="13"/>
  <c r="AS18" i="13"/>
  <c r="AR18" i="13"/>
  <c r="AP18" i="13"/>
  <c r="G18" i="13" s="1"/>
  <c r="AO18" i="13"/>
  <c r="AN18" i="13"/>
  <c r="AM18" i="13"/>
  <c r="AK18" i="13"/>
  <c r="F18" i="13" s="1"/>
  <c r="AJ18" i="13"/>
  <c r="AI18" i="13"/>
  <c r="AH18" i="13"/>
  <c r="AF18" i="13"/>
  <c r="E18" i="13" s="1"/>
  <c r="AE18" i="13"/>
  <c r="AD18" i="13"/>
  <c r="AC18" i="13"/>
  <c r="AA18" i="13"/>
  <c r="D18" i="13" s="1"/>
  <c r="Z18" i="13"/>
  <c r="Y18" i="13"/>
  <c r="X18" i="13"/>
  <c r="V18" i="13"/>
  <c r="C18" i="13" s="1"/>
  <c r="U18" i="13"/>
  <c r="T18" i="13"/>
  <c r="AS17" i="13"/>
  <c r="AR17" i="13"/>
  <c r="AP17" i="13"/>
  <c r="G17" i="13" s="1"/>
  <c r="AO17" i="13"/>
  <c r="AN17" i="13"/>
  <c r="AM17" i="13"/>
  <c r="AK17" i="13"/>
  <c r="F17" i="13" s="1"/>
  <c r="AJ17" i="13"/>
  <c r="AI17" i="13"/>
  <c r="AH17" i="13"/>
  <c r="AF17" i="13"/>
  <c r="E17" i="13" s="1"/>
  <c r="AE17" i="13"/>
  <c r="AD17" i="13"/>
  <c r="AC17" i="13"/>
  <c r="AA17" i="13"/>
  <c r="D17" i="13" s="1"/>
  <c r="Z17" i="13"/>
  <c r="Y17" i="13"/>
  <c r="X17" i="13"/>
  <c r="V17" i="13"/>
  <c r="C17" i="13" s="1"/>
  <c r="U17" i="13"/>
  <c r="T17" i="13"/>
  <c r="N15" i="13"/>
  <c r="I15" i="13"/>
  <c r="AY26" i="13"/>
  <c r="AW15" i="13"/>
  <c r="AU26" i="13"/>
  <c r="H26" i="13" s="1"/>
  <c r="AT37" i="13"/>
  <c r="G15" i="13"/>
  <c r="F15" i="13"/>
  <c r="E15" i="13"/>
  <c r="D15" i="13"/>
  <c r="C15" i="13"/>
  <c r="B15" i="13"/>
  <c r="K14" i="13"/>
  <c r="J14" i="13"/>
  <c r="AZ25" i="13"/>
  <c r="AW14" i="13"/>
  <c r="H14" i="13"/>
  <c r="AT36" i="13"/>
  <c r="G14" i="13"/>
  <c r="F14" i="13"/>
  <c r="E14" i="13"/>
  <c r="D14" i="13"/>
  <c r="C14" i="13"/>
  <c r="B14" i="13"/>
  <c r="N13" i="13"/>
  <c r="AV13" i="13"/>
  <c r="L13" i="13"/>
  <c r="K13" i="13"/>
  <c r="I13" i="13"/>
  <c r="AW13" i="13"/>
  <c r="AU24" i="13"/>
  <c r="H24" i="13" s="1"/>
  <c r="G13" i="13"/>
  <c r="F13" i="13"/>
  <c r="E13" i="13"/>
  <c r="D13" i="13"/>
  <c r="C13" i="13"/>
  <c r="B13" i="13"/>
  <c r="N12" i="13"/>
  <c r="L12" i="13"/>
  <c r="K12" i="13"/>
  <c r="J12" i="13"/>
  <c r="I12" i="13"/>
  <c r="AW12" i="13"/>
  <c r="AT34" i="13"/>
  <c r="G12" i="13"/>
  <c r="F12" i="13"/>
  <c r="E12" i="13"/>
  <c r="D12" i="13"/>
  <c r="C12" i="13"/>
  <c r="B12" i="13"/>
  <c r="N11" i="13"/>
  <c r="AV11" i="13"/>
  <c r="J11" i="13"/>
  <c r="AZ22" i="13"/>
  <c r="AW11" i="13"/>
  <c r="H11" i="13"/>
  <c r="G11" i="13"/>
  <c r="F11" i="13"/>
  <c r="E11" i="13"/>
  <c r="D11" i="13"/>
  <c r="C11" i="13"/>
  <c r="B11" i="13"/>
  <c r="N10" i="13"/>
  <c r="K10" i="13"/>
  <c r="J10" i="13"/>
  <c r="AZ21" i="13"/>
  <c r="AW10" i="13"/>
  <c r="H10" i="13"/>
  <c r="G10" i="13"/>
  <c r="F10" i="13"/>
  <c r="E10" i="13"/>
  <c r="D10" i="13"/>
  <c r="C10" i="13"/>
  <c r="B10" i="13"/>
  <c r="J9" i="13"/>
  <c r="AY20" i="13"/>
  <c r="AW9" i="13"/>
  <c r="G9" i="13"/>
  <c r="F9" i="13"/>
  <c r="E9" i="13"/>
  <c r="D9" i="13"/>
  <c r="C9" i="13"/>
  <c r="B9" i="13"/>
  <c r="N8" i="13"/>
  <c r="AV8" i="13"/>
  <c r="AY19" i="13"/>
  <c r="AW8" i="13"/>
  <c r="H8" i="13"/>
  <c r="AT30" i="13"/>
  <c r="G8" i="13"/>
  <c r="F8" i="13"/>
  <c r="E8" i="13"/>
  <c r="D8" i="13"/>
  <c r="C8" i="13"/>
  <c r="B8" i="13"/>
  <c r="N7" i="13"/>
  <c r="J7" i="13"/>
  <c r="AY18" i="13"/>
  <c r="AW7" i="13"/>
  <c r="H7" i="13"/>
  <c r="AT29" i="13"/>
  <c r="G7" i="13"/>
  <c r="F7" i="13"/>
  <c r="E7" i="13"/>
  <c r="D7" i="13"/>
  <c r="C7" i="13"/>
  <c r="B7" i="13"/>
  <c r="K6" i="13"/>
  <c r="AZ17" i="13"/>
  <c r="AY17" i="13"/>
  <c r="AW6" i="13"/>
  <c r="G6" i="13"/>
  <c r="F6" i="13"/>
  <c r="E6" i="13"/>
  <c r="D6" i="13"/>
  <c r="C6" i="13"/>
  <c r="B6" i="13"/>
  <c r="C69" i="19"/>
  <c r="H55" i="19"/>
  <c r="E55" i="19"/>
  <c r="H54" i="19"/>
  <c r="E54" i="19"/>
  <c r="H52" i="19"/>
  <c r="E52" i="19"/>
  <c r="L3" i="19"/>
  <c r="H13" i="10"/>
  <c r="H12" i="10"/>
  <c r="H11" i="10"/>
  <c r="H10" i="10"/>
  <c r="H9" i="10"/>
  <c r="H8" i="10"/>
  <c r="H7" i="10"/>
  <c r="C16" i="9"/>
  <c r="C15" i="9"/>
  <c r="J21" i="3"/>
  <c r="I21" i="3"/>
  <c r="H21" i="3"/>
  <c r="G21" i="3"/>
  <c r="F21" i="3"/>
  <c r="E21" i="3"/>
  <c r="D21" i="3"/>
  <c r="C21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D19" i="3"/>
  <c r="C19" i="3"/>
  <c r="E18" i="3"/>
  <c r="D18" i="3"/>
  <c r="C18" i="3"/>
  <c r="E17" i="3"/>
  <c r="D17" i="3"/>
  <c r="C17" i="3"/>
  <c r="J16" i="3"/>
  <c r="I16" i="3"/>
  <c r="H16" i="3"/>
  <c r="G16" i="3"/>
  <c r="F16" i="3"/>
  <c r="E16" i="3"/>
  <c r="D16" i="3"/>
  <c r="C16" i="3"/>
  <c r="J15" i="3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C110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L18" i="5" l="1"/>
  <c r="E14" i="17"/>
  <c r="C15" i="16"/>
  <c r="BJ36" i="13"/>
  <c r="C52" i="19"/>
  <c r="AS18" i="7"/>
  <c r="AT25" i="7"/>
  <c r="D14" i="19"/>
  <c r="BX26" i="13"/>
  <c r="E9" i="10"/>
  <c r="BE17" i="13"/>
  <c r="BO17" i="13"/>
  <c r="BD18" i="13"/>
  <c r="BX18" i="13"/>
  <c r="BQ21" i="13"/>
  <c r="L21" i="13" s="1"/>
  <c r="BB19" i="13"/>
  <c r="I19" i="13" s="1"/>
  <c r="BP35" i="13"/>
  <c r="G15" i="19"/>
  <c r="BJ28" i="13"/>
  <c r="I17" i="3"/>
  <c r="H18" i="3"/>
  <c r="E12" i="10"/>
  <c r="G14" i="19"/>
  <c r="BP28" i="13"/>
  <c r="BF30" i="13"/>
  <c r="BP30" i="13"/>
  <c r="BD32" i="13"/>
  <c r="BS32" i="13"/>
  <c r="BX32" i="13"/>
  <c r="BJ24" i="13"/>
  <c r="AI26" i="7"/>
  <c r="C54" i="19"/>
  <c r="F15" i="19"/>
  <c r="J15" i="19"/>
  <c r="AB25" i="7"/>
  <c r="G18" i="3"/>
  <c r="J9" i="10"/>
  <c r="G11" i="10"/>
  <c r="J12" i="10"/>
  <c r="BT17" i="13"/>
  <c r="BY17" i="13"/>
  <c r="BF33" i="13"/>
  <c r="BU33" i="13"/>
  <c r="BZ33" i="13"/>
  <c r="BD34" i="13"/>
  <c r="BO25" i="13"/>
  <c r="X18" i="7"/>
  <c r="W19" i="7"/>
  <c r="AO20" i="7"/>
  <c r="W22" i="7"/>
  <c r="AG22" i="7"/>
  <c r="AO24" i="7"/>
  <c r="F8" i="10"/>
  <c r="I13" i="10"/>
  <c r="B6" i="7"/>
  <c r="Y26" i="7"/>
  <c r="C22" i="9"/>
  <c r="C42" i="9"/>
  <c r="C42" i="10"/>
  <c r="F12" i="10"/>
  <c r="J13" i="10"/>
  <c r="D15" i="19"/>
  <c r="E7" i="10"/>
  <c r="E8" i="10"/>
  <c r="I8" i="10"/>
  <c r="I9" i="10"/>
  <c r="G9" i="10"/>
  <c r="F10" i="10"/>
  <c r="E11" i="10"/>
  <c r="I11" i="10"/>
  <c r="I12" i="10"/>
  <c r="F13" i="10"/>
  <c r="C55" i="19"/>
  <c r="BJ17" i="13"/>
  <c r="BL29" i="13"/>
  <c r="I8" i="13"/>
  <c r="AU34" i="13"/>
  <c r="BD26" i="13"/>
  <c r="G14" i="17"/>
  <c r="I14" i="7"/>
  <c r="BN23" i="13"/>
  <c r="CA25" i="13"/>
  <c r="N25" i="13" s="1"/>
  <c r="H17" i="3"/>
  <c r="C8" i="9"/>
  <c r="C12" i="9"/>
  <c r="C17" i="9"/>
  <c r="C27" i="9"/>
  <c r="C32" i="9"/>
  <c r="C37" i="9"/>
  <c r="C47" i="9"/>
  <c r="C52" i="9"/>
  <c r="C17" i="10"/>
  <c r="I7" i="10"/>
  <c r="C22" i="10"/>
  <c r="F9" i="10"/>
  <c r="C32" i="10"/>
  <c r="J10" i="10"/>
  <c r="C37" i="10"/>
  <c r="E13" i="10"/>
  <c r="C52" i="10"/>
  <c r="BZ22" i="13"/>
  <c r="D12" i="7"/>
  <c r="G17" i="3"/>
  <c r="I18" i="3"/>
  <c r="C55" i="9"/>
  <c r="G7" i="10"/>
  <c r="J8" i="10"/>
  <c r="G10" i="10"/>
  <c r="G13" i="10"/>
  <c r="BI18" i="13"/>
  <c r="BN18" i="13"/>
  <c r="M8" i="13"/>
  <c r="BO32" i="13"/>
  <c r="BO22" i="13"/>
  <c r="AT18" i="13"/>
  <c r="I14" i="17"/>
  <c r="O10" i="5"/>
  <c r="J18" i="5"/>
  <c r="C17" i="6"/>
  <c r="Q19" i="6"/>
  <c r="C21" i="6"/>
  <c r="G25" i="6"/>
  <c r="H6" i="7"/>
  <c r="B7" i="7"/>
  <c r="AI19" i="7"/>
  <c r="F13" i="7"/>
  <c r="B14" i="7"/>
  <c r="AT26" i="7"/>
  <c r="C27" i="10"/>
  <c r="D9" i="10"/>
  <c r="BL22" i="13"/>
  <c r="K22" i="13" s="1"/>
  <c r="CA22" i="13"/>
  <c r="AW22" i="13" s="1"/>
  <c r="D7" i="10"/>
  <c r="D10" i="10"/>
  <c r="C21" i="10"/>
  <c r="C26" i="10"/>
  <c r="E10" i="10"/>
  <c r="C36" i="10"/>
  <c r="C41" i="10"/>
  <c r="BG19" i="13"/>
  <c r="J19" i="13" s="1"/>
  <c r="BL19" i="13"/>
  <c r="K19" i="13" s="1"/>
  <c r="BQ19" i="13"/>
  <c r="L19" i="13" s="1"/>
  <c r="L8" i="13"/>
  <c r="BV19" i="13"/>
  <c r="AV19" i="13" s="1"/>
  <c r="CA19" i="13"/>
  <c r="N19" i="13" s="1"/>
  <c r="BE31" i="13"/>
  <c r="BJ31" i="13"/>
  <c r="BY31" i="13"/>
  <c r="AT22" i="13"/>
  <c r="AT33" i="13"/>
  <c r="BI33" i="13"/>
  <c r="BI34" i="13"/>
  <c r="BD35" i="13"/>
  <c r="BS36" i="13"/>
  <c r="BX36" i="13"/>
  <c r="AO19" i="7"/>
  <c r="F9" i="7"/>
  <c r="I10" i="7"/>
  <c r="R26" i="7"/>
  <c r="B15" i="7"/>
  <c r="W26" i="7"/>
  <c r="AG26" i="7"/>
  <c r="AR26" i="7"/>
  <c r="C47" i="10"/>
  <c r="D13" i="10"/>
  <c r="R23" i="7"/>
  <c r="B12" i="7"/>
  <c r="AG23" i="7"/>
  <c r="AR23" i="7"/>
  <c r="C16" i="10"/>
  <c r="C31" i="10"/>
  <c r="I10" i="10"/>
  <c r="C46" i="10"/>
  <c r="C51" i="10"/>
  <c r="F17" i="3"/>
  <c r="J17" i="3"/>
  <c r="D8" i="10"/>
  <c r="D11" i="10"/>
  <c r="C15" i="10"/>
  <c r="F7" i="10"/>
  <c r="J7" i="10"/>
  <c r="C20" i="10"/>
  <c r="G8" i="10"/>
  <c r="C25" i="10"/>
  <c r="C30" i="10"/>
  <c r="C35" i="10"/>
  <c r="F11" i="10"/>
  <c r="J11" i="10"/>
  <c r="C40" i="10"/>
  <c r="G12" i="10"/>
  <c r="C45" i="10"/>
  <c r="C50" i="10"/>
  <c r="C53" i="19"/>
  <c r="C10" i="16"/>
  <c r="C18" i="16"/>
  <c r="C20" i="16"/>
  <c r="C25" i="16"/>
  <c r="C30" i="16"/>
  <c r="C35" i="16"/>
  <c r="C40" i="16"/>
  <c r="C45" i="16"/>
  <c r="C50" i="16"/>
  <c r="C55" i="16"/>
  <c r="BS18" i="13"/>
  <c r="J8" i="13"/>
  <c r="BD30" i="13"/>
  <c r="BI30" i="13"/>
  <c r="BN30" i="13"/>
  <c r="BS30" i="13"/>
  <c r="BX30" i="13"/>
  <c r="BA32" i="13"/>
  <c r="BF32" i="13"/>
  <c r="BP32" i="13"/>
  <c r="BU32" i="13"/>
  <c r="BV24" i="13"/>
  <c r="AV24" i="13" s="1"/>
  <c r="AY37" i="13"/>
  <c r="H14" i="17"/>
  <c r="Y17" i="7"/>
  <c r="AT17" i="7"/>
  <c r="AL18" i="7"/>
  <c r="Y25" i="7"/>
  <c r="AI25" i="7"/>
  <c r="D15" i="7"/>
  <c r="I15" i="7"/>
  <c r="D12" i="10"/>
  <c r="F14" i="19"/>
  <c r="J14" i="19"/>
  <c r="H15" i="19"/>
  <c r="C60" i="19"/>
  <c r="C65" i="19"/>
  <c r="C17" i="16"/>
  <c r="K8" i="13"/>
  <c r="M11" i="13"/>
  <c r="BU23" i="13"/>
  <c r="BZ23" i="13"/>
  <c r="H15" i="13"/>
  <c r="BN26" i="13"/>
  <c r="C59" i="17"/>
  <c r="D17" i="6"/>
  <c r="H17" i="6"/>
  <c r="P17" i="6"/>
  <c r="C18" i="6"/>
  <c r="G18" i="6"/>
  <c r="K18" i="6"/>
  <c r="F19" i="6"/>
  <c r="J19" i="6"/>
  <c r="E20" i="6"/>
  <c r="I20" i="6"/>
  <c r="Q20" i="6"/>
  <c r="D21" i="6"/>
  <c r="H21" i="6"/>
  <c r="P21" i="6"/>
  <c r="C22" i="6"/>
  <c r="G22" i="6"/>
  <c r="K22" i="6"/>
  <c r="F23" i="6"/>
  <c r="J23" i="6"/>
  <c r="E24" i="6"/>
  <c r="I24" i="6"/>
  <c r="Q24" i="6"/>
  <c r="D25" i="6"/>
  <c r="H25" i="6"/>
  <c r="H14" i="7"/>
  <c r="L25" i="6"/>
  <c r="P25" i="6"/>
  <c r="C26" i="6"/>
  <c r="G26" i="6"/>
  <c r="K26" i="6"/>
  <c r="AK17" i="7"/>
  <c r="AC18" i="7"/>
  <c r="AD20" i="7"/>
  <c r="AR22" i="7"/>
  <c r="AM31" i="26"/>
  <c r="C18" i="10"/>
  <c r="C23" i="10"/>
  <c r="C28" i="10"/>
  <c r="C33" i="10"/>
  <c r="C38" i="10"/>
  <c r="C43" i="10"/>
  <c r="C48" i="10"/>
  <c r="C53" i="10"/>
  <c r="C16" i="16"/>
  <c r="BB31" i="13"/>
  <c r="BV31" i="13"/>
  <c r="AZ34" i="13"/>
  <c r="BO34" i="13"/>
  <c r="BT34" i="13"/>
  <c r="BJ25" i="13"/>
  <c r="BT25" i="13"/>
  <c r="F14" i="17"/>
  <c r="J14" i="17"/>
  <c r="C58" i="17"/>
  <c r="D8" i="7"/>
  <c r="H8" i="7"/>
  <c r="E11" i="7"/>
  <c r="C12" i="7"/>
  <c r="H12" i="7"/>
  <c r="C13" i="7"/>
  <c r="AB24" i="7"/>
  <c r="C10" i="9"/>
  <c r="C20" i="9"/>
  <c r="C25" i="9"/>
  <c r="C30" i="9"/>
  <c r="C35" i="9"/>
  <c r="C40" i="9"/>
  <c r="C45" i="9"/>
  <c r="C50" i="9"/>
  <c r="BB18" i="13"/>
  <c r="I18" i="13" s="1"/>
  <c r="I7" i="13"/>
  <c r="AV7" i="13"/>
  <c r="M7" i="13"/>
  <c r="BG20" i="13"/>
  <c r="J20" i="13" s="1"/>
  <c r="BL31" i="13"/>
  <c r="K9" i="13"/>
  <c r="BQ31" i="13"/>
  <c r="BQ20" i="13"/>
  <c r="L20" i="13" s="1"/>
  <c r="CA31" i="13"/>
  <c r="N9" i="13"/>
  <c r="BI35" i="13"/>
  <c r="BI24" i="13"/>
  <c r="BX35" i="13"/>
  <c r="BX24" i="13"/>
  <c r="BS19" i="13"/>
  <c r="AU23" i="13"/>
  <c r="H23" i="13" s="1"/>
  <c r="L21" i="6"/>
  <c r="R21" i="6"/>
  <c r="N23" i="6"/>
  <c r="T23" i="6"/>
  <c r="AA17" i="7"/>
  <c r="F18" i="3"/>
  <c r="J18" i="3"/>
  <c r="C9" i="9"/>
  <c r="C13" i="9"/>
  <c r="C18" i="9"/>
  <c r="C23" i="9"/>
  <c r="C28" i="9"/>
  <c r="C33" i="9"/>
  <c r="C38" i="9"/>
  <c r="C43" i="9"/>
  <c r="C48" i="9"/>
  <c r="C53" i="9"/>
  <c r="C8" i="19"/>
  <c r="C50" i="19"/>
  <c r="H14" i="19"/>
  <c r="E15" i="19"/>
  <c r="I15" i="19"/>
  <c r="C64" i="19"/>
  <c r="C8" i="16"/>
  <c r="C9" i="16"/>
  <c r="C13" i="16"/>
  <c r="C23" i="16"/>
  <c r="C28" i="16"/>
  <c r="C33" i="16"/>
  <c r="C38" i="16"/>
  <c r="C43" i="16"/>
  <c r="BS17" i="13"/>
  <c r="L9" i="13"/>
  <c r="AY32" i="13"/>
  <c r="BA22" i="13"/>
  <c r="BA33" i="13"/>
  <c r="H12" i="13"/>
  <c r="BD19" i="13"/>
  <c r="BX19" i="13"/>
  <c r="BL20" i="13"/>
  <c r="K20" i="13" s="1"/>
  <c r="BI25" i="13"/>
  <c r="C57" i="17"/>
  <c r="O17" i="6"/>
  <c r="M23" i="6"/>
  <c r="C7" i="19"/>
  <c r="E14" i="19"/>
  <c r="C58" i="19"/>
  <c r="C63" i="19"/>
  <c r="C7" i="16"/>
  <c r="C12" i="16"/>
  <c r="C22" i="16"/>
  <c r="C27" i="16"/>
  <c r="C32" i="16"/>
  <c r="C37" i="16"/>
  <c r="C42" i="16"/>
  <c r="C47" i="16"/>
  <c r="C52" i="16"/>
  <c r="AZ29" i="13"/>
  <c r="AZ18" i="13"/>
  <c r="BE29" i="13"/>
  <c r="BE18" i="13"/>
  <c r="BJ29" i="13"/>
  <c r="BJ18" i="13"/>
  <c r="BO29" i="13"/>
  <c r="BO18" i="13"/>
  <c r="BT29" i="13"/>
  <c r="BT18" i="13"/>
  <c r="BY29" i="13"/>
  <c r="BY18" i="13"/>
  <c r="BV26" i="13"/>
  <c r="AV26" i="13" s="1"/>
  <c r="AV15" i="13"/>
  <c r="M15" i="13"/>
  <c r="BI19" i="13"/>
  <c r="BD29" i="13"/>
  <c r="BG31" i="13"/>
  <c r="D14" i="17"/>
  <c r="C56" i="17"/>
  <c r="E16" i="5"/>
  <c r="X17" i="7"/>
  <c r="D6" i="7"/>
  <c r="AC17" i="7"/>
  <c r="AH17" i="7"/>
  <c r="AN17" i="7"/>
  <c r="AS17" i="7"/>
  <c r="AC19" i="7"/>
  <c r="AH19" i="7"/>
  <c r="Y21" i="7"/>
  <c r="AD21" i="7"/>
  <c r="AI21" i="7"/>
  <c r="AO21" i="7"/>
  <c r="AT21" i="7"/>
  <c r="E14" i="7"/>
  <c r="F14" i="7"/>
  <c r="C7" i="9"/>
  <c r="C11" i="9"/>
  <c r="C21" i="9"/>
  <c r="C26" i="9"/>
  <c r="C31" i="9"/>
  <c r="C36" i="9"/>
  <c r="C41" i="9"/>
  <c r="C46" i="9"/>
  <c r="C51" i="9"/>
  <c r="C57" i="19"/>
  <c r="I14" i="19"/>
  <c r="C62" i="19"/>
  <c r="C11" i="16"/>
  <c r="C21" i="16"/>
  <c r="C26" i="16"/>
  <c r="C31" i="16"/>
  <c r="C36" i="16"/>
  <c r="C41" i="16"/>
  <c r="C46" i="16"/>
  <c r="C51" i="16"/>
  <c r="H6" i="13"/>
  <c r="AU17" i="13"/>
  <c r="H17" i="13" s="1"/>
  <c r="BA28" i="13"/>
  <c r="BA17" i="13"/>
  <c r="BF28" i="13"/>
  <c r="BF17" i="13"/>
  <c r="BK28" i="13"/>
  <c r="BK17" i="13"/>
  <c r="BP17" i="13"/>
  <c r="BU28" i="13"/>
  <c r="BU17" i="13"/>
  <c r="BZ28" i="13"/>
  <c r="BZ17" i="13"/>
  <c r="AU29" i="13"/>
  <c r="AU18" i="13"/>
  <c r="H18" i="13" s="1"/>
  <c r="BK29" i="13"/>
  <c r="BY30" i="13"/>
  <c r="BK32" i="13"/>
  <c r="BK21" i="13"/>
  <c r="BZ32" i="13"/>
  <c r="BZ21" i="13"/>
  <c r="AV12" i="13"/>
  <c r="M12" i="13"/>
  <c r="BD37" i="13"/>
  <c r="AT19" i="13"/>
  <c r="BN19" i="13"/>
  <c r="BF21" i="13"/>
  <c r="BV29" i="13"/>
  <c r="BU34" i="13"/>
  <c r="AI21" i="26"/>
  <c r="F21" i="26" s="1"/>
  <c r="F10" i="26"/>
  <c r="BD31" i="13"/>
  <c r="BS31" i="13"/>
  <c r="BX31" i="13"/>
  <c r="BL32" i="13"/>
  <c r="AU33" i="13"/>
  <c r="AZ33" i="13"/>
  <c r="BE33" i="13"/>
  <c r="BJ33" i="13"/>
  <c r="BO33" i="13"/>
  <c r="BT33" i="13"/>
  <c r="BY33" i="13"/>
  <c r="BD23" i="13"/>
  <c r="BN34" i="13"/>
  <c r="BS34" i="13"/>
  <c r="BX34" i="13"/>
  <c r="BG35" i="13"/>
  <c r="BL35" i="13"/>
  <c r="BQ35" i="13"/>
  <c r="CA35" i="13"/>
  <c r="CA36" i="13"/>
  <c r="BP37" i="13"/>
  <c r="AU22" i="13"/>
  <c r="H22" i="13" s="1"/>
  <c r="BT22" i="13"/>
  <c r="AT23" i="13"/>
  <c r="CA33" i="13"/>
  <c r="BB35" i="13"/>
  <c r="E10" i="5"/>
  <c r="W18" i="7"/>
  <c r="AB18" i="7"/>
  <c r="AG18" i="7"/>
  <c r="AR18" i="7"/>
  <c r="AD23" i="7"/>
  <c r="AO23" i="7"/>
  <c r="R24" i="7"/>
  <c r="B13" i="7"/>
  <c r="AL24" i="7"/>
  <c r="C48" i="16"/>
  <c r="C53" i="16"/>
  <c r="AY29" i="13"/>
  <c r="BI29" i="13"/>
  <c r="BX29" i="13"/>
  <c r="AY31" i="13"/>
  <c r="J13" i="13"/>
  <c r="BO24" i="13"/>
  <c r="BD20" i="13"/>
  <c r="BI23" i="13"/>
  <c r="BQ24" i="13"/>
  <c r="L24" i="13" s="1"/>
  <c r="AT26" i="13"/>
  <c r="K17" i="6"/>
  <c r="I19" i="6"/>
  <c r="G21" i="6"/>
  <c r="I23" i="6"/>
  <c r="C25" i="6"/>
  <c r="I7" i="7"/>
  <c r="W23" i="7"/>
  <c r="AB23" i="7"/>
  <c r="AL23" i="7"/>
  <c r="Y24" i="7"/>
  <c r="AD24" i="7"/>
  <c r="AI24" i="7"/>
  <c r="G13" i="7"/>
  <c r="AT24" i="7"/>
  <c r="H15" i="7"/>
  <c r="J10" i="5"/>
  <c r="O11" i="5"/>
  <c r="E11" i="5"/>
  <c r="J11" i="5"/>
  <c r="O12" i="5"/>
  <c r="E12" i="5"/>
  <c r="J12" i="5"/>
  <c r="O13" i="5"/>
  <c r="E13" i="5"/>
  <c r="J13" i="5"/>
  <c r="O14" i="5"/>
  <c r="E14" i="5"/>
  <c r="J14" i="5"/>
  <c r="O15" i="5"/>
  <c r="E15" i="5"/>
  <c r="J15" i="5"/>
  <c r="O16" i="5"/>
  <c r="J16" i="5"/>
  <c r="E17" i="5"/>
  <c r="J17" i="5"/>
  <c r="O17" i="5"/>
  <c r="O18" i="5"/>
  <c r="E18" i="5"/>
  <c r="Q17" i="6"/>
  <c r="I18" i="6"/>
  <c r="G19" i="6"/>
  <c r="C20" i="6"/>
  <c r="E21" i="6"/>
  <c r="Q21" i="6"/>
  <c r="H22" i="6"/>
  <c r="G23" i="6"/>
  <c r="K23" i="6"/>
  <c r="F24" i="6"/>
  <c r="E25" i="6"/>
  <c r="I25" i="6"/>
  <c r="Q25" i="6"/>
  <c r="D26" i="6"/>
  <c r="H26" i="6"/>
  <c r="P26" i="6"/>
  <c r="F6" i="7"/>
  <c r="I6" i="7"/>
  <c r="H7" i="7"/>
  <c r="C8" i="7"/>
  <c r="Y20" i="7"/>
  <c r="AI20" i="7"/>
  <c r="AT20" i="7"/>
  <c r="B11" i="7"/>
  <c r="D11" i="7"/>
  <c r="AT22" i="7"/>
  <c r="I11" i="7"/>
  <c r="G12" i="7"/>
  <c r="I12" i="7"/>
  <c r="AL25" i="7"/>
  <c r="AB26" i="7"/>
  <c r="AL26" i="7"/>
  <c r="AS30" i="26"/>
  <c r="G17" i="6"/>
  <c r="F18" i="6"/>
  <c r="J18" i="6"/>
  <c r="N18" i="6"/>
  <c r="E19" i="6"/>
  <c r="D20" i="6"/>
  <c r="H20" i="6"/>
  <c r="P20" i="6"/>
  <c r="K21" i="6"/>
  <c r="F22" i="6"/>
  <c r="J22" i="6"/>
  <c r="E23" i="6"/>
  <c r="Q23" i="6"/>
  <c r="D24" i="6"/>
  <c r="H24" i="6"/>
  <c r="P24" i="6"/>
  <c r="K25" i="6"/>
  <c r="F26" i="6"/>
  <c r="J26" i="6"/>
  <c r="T18" i="6"/>
  <c r="AB22" i="7"/>
  <c r="AL22" i="7"/>
  <c r="AD25" i="7"/>
  <c r="AO25" i="7"/>
  <c r="Y22" i="7"/>
  <c r="AQ34" i="26"/>
  <c r="EA31" i="26"/>
  <c r="ED20" i="26"/>
  <c r="CX20" i="26" s="1"/>
  <c r="DY17" i="26"/>
  <c r="ED17" i="26"/>
  <c r="CX17" i="26" s="1"/>
  <c r="EA29" i="26"/>
  <c r="ED18" i="26"/>
  <c r="CX18" i="26" s="1"/>
  <c r="EA32" i="26"/>
  <c r="ED21" i="26"/>
  <c r="CX21" i="26" s="1"/>
  <c r="EA35" i="26"/>
  <c r="ED24" i="26"/>
  <c r="CX24" i="26" s="1"/>
  <c r="EA34" i="26"/>
  <c r="ED23" i="26"/>
  <c r="CX23" i="26" s="1"/>
  <c r="EA37" i="26"/>
  <c r="ED26" i="26"/>
  <c r="CX26" i="26" s="1"/>
  <c r="EA30" i="26"/>
  <c r="ED19" i="26"/>
  <c r="CX19" i="26" s="1"/>
  <c r="EA33" i="26"/>
  <c r="ED22" i="26"/>
  <c r="CX22" i="26" s="1"/>
  <c r="EA36" i="26"/>
  <c r="ED25" i="26"/>
  <c r="CX25" i="26" s="1"/>
  <c r="AL19" i="26"/>
  <c r="AK31" i="26"/>
  <c r="AP31" i="26"/>
  <c r="AR21" i="26"/>
  <c r="AL33" i="26"/>
  <c r="AP26" i="26"/>
  <c r="AN28" i="26"/>
  <c r="AL29" i="26"/>
  <c r="AL32" i="26"/>
  <c r="AQ32" i="26"/>
  <c r="AK22" i="26"/>
  <c r="AF22" i="26"/>
  <c r="AN32" i="26"/>
  <c r="BB28" i="13"/>
  <c r="BB17" i="13"/>
  <c r="I17" i="13" s="1"/>
  <c r="I6" i="13"/>
  <c r="BL28" i="13"/>
  <c r="BL17" i="13"/>
  <c r="K17" i="13" s="1"/>
  <c r="CA28" i="13"/>
  <c r="CA17" i="13"/>
  <c r="AZ31" i="13"/>
  <c r="AZ20" i="13"/>
  <c r="BO31" i="13"/>
  <c r="BO20" i="13"/>
  <c r="BT31" i="13"/>
  <c r="BT20" i="13"/>
  <c r="BI32" i="13"/>
  <c r="BI21" i="13"/>
  <c r="BF26" i="13"/>
  <c r="BF37" i="13"/>
  <c r="BZ26" i="13"/>
  <c r="BY20" i="13"/>
  <c r="BD21" i="13"/>
  <c r="BP26" i="13"/>
  <c r="I17" i="6"/>
  <c r="J17" i="6"/>
  <c r="M17" i="6"/>
  <c r="S17" i="6"/>
  <c r="J20" i="6"/>
  <c r="K20" i="6"/>
  <c r="P22" i="6"/>
  <c r="Q22" i="6"/>
  <c r="O23" i="6"/>
  <c r="U23" i="6"/>
  <c r="P23" i="6"/>
  <c r="J24" i="6"/>
  <c r="K24" i="6"/>
  <c r="T24" i="6"/>
  <c r="N24" i="6"/>
  <c r="O24" i="6"/>
  <c r="BD28" i="13"/>
  <c r="BD17" i="13"/>
  <c r="AT32" i="13"/>
  <c r="AT21" i="13"/>
  <c r="BK33" i="13"/>
  <c r="BK22" i="13"/>
  <c r="BE34" i="13"/>
  <c r="BE23" i="13"/>
  <c r="BY34" i="13"/>
  <c r="BY23" i="13"/>
  <c r="BG37" i="13"/>
  <c r="BQ26" i="13"/>
  <c r="L26" i="13" s="1"/>
  <c r="L15" i="13"/>
  <c r="CA37" i="13"/>
  <c r="CA26" i="13"/>
  <c r="BS21" i="13"/>
  <c r="AZ23" i="13"/>
  <c r="AT25" i="13"/>
  <c r="BI28" i="13"/>
  <c r="AU35" i="13"/>
  <c r="C59" i="19"/>
  <c r="AT28" i="13"/>
  <c r="AT17" i="13"/>
  <c r="BE28" i="13"/>
  <c r="BO28" i="13"/>
  <c r="BA29" i="13"/>
  <c r="BA18" i="13"/>
  <c r="BF29" i="13"/>
  <c r="BF18" i="13"/>
  <c r="BK18" i="13"/>
  <c r="BP29" i="13"/>
  <c r="BP18" i="13"/>
  <c r="BU29" i="13"/>
  <c r="BU18" i="13"/>
  <c r="BZ18" i="13"/>
  <c r="BZ29" i="13"/>
  <c r="AU30" i="13"/>
  <c r="AU19" i="13"/>
  <c r="H19" i="13" s="1"/>
  <c r="AZ30" i="13"/>
  <c r="AZ19" i="13"/>
  <c r="BE19" i="13"/>
  <c r="BJ30" i="13"/>
  <c r="BJ19" i="13"/>
  <c r="BO30" i="13"/>
  <c r="BO19" i="13"/>
  <c r="BT19" i="13"/>
  <c r="BT30" i="13"/>
  <c r="BY19" i="13"/>
  <c r="BA21" i="13"/>
  <c r="BB33" i="13"/>
  <c r="BB22" i="13"/>
  <c r="I22" i="13" s="1"/>
  <c r="BG33" i="13"/>
  <c r="BL33" i="13"/>
  <c r="K11" i="13"/>
  <c r="BQ33" i="13"/>
  <c r="BQ22" i="13"/>
  <c r="L22" i="13" s="1"/>
  <c r="L11" i="13"/>
  <c r="BV22" i="13"/>
  <c r="BA34" i="13"/>
  <c r="BF34" i="13"/>
  <c r="BK34" i="13"/>
  <c r="BK23" i="13"/>
  <c r="BP23" i="13"/>
  <c r="BZ34" i="13"/>
  <c r="H13" i="13"/>
  <c r="AY35" i="13"/>
  <c r="AY24" i="13"/>
  <c r="BN35" i="13"/>
  <c r="BN24" i="13"/>
  <c r="BS35" i="13"/>
  <c r="BS24" i="13"/>
  <c r="BB36" i="13"/>
  <c r="I14" i="13"/>
  <c r="BG36" i="13"/>
  <c r="BG25" i="13"/>
  <c r="J25" i="13" s="1"/>
  <c r="BL36" i="13"/>
  <c r="BL25" i="13"/>
  <c r="K25" i="13" s="1"/>
  <c r="BQ36" i="13"/>
  <c r="L14" i="13"/>
  <c r="BV36" i="13"/>
  <c r="BV25" i="13"/>
  <c r="AV14" i="13"/>
  <c r="M14" i="13"/>
  <c r="BE20" i="13"/>
  <c r="BS20" i="13"/>
  <c r="BX21" i="13"/>
  <c r="BF22" i="13"/>
  <c r="BA23" i="13"/>
  <c r="BO23" i="13"/>
  <c r="BB24" i="13"/>
  <c r="I24" i="13" s="1"/>
  <c r="BG26" i="13"/>
  <c r="J26" i="13" s="1"/>
  <c r="AY30" i="13"/>
  <c r="BA31" i="13"/>
  <c r="BZ31" i="13"/>
  <c r="BT32" i="13"/>
  <c r="BN33" i="13"/>
  <c r="BQ37" i="13"/>
  <c r="BG28" i="13"/>
  <c r="BG17" i="13"/>
  <c r="J17" i="13" s="1"/>
  <c r="BQ28" i="13"/>
  <c r="BQ17" i="13"/>
  <c r="L17" i="13" s="1"/>
  <c r="L6" i="13"/>
  <c r="BV28" i="13"/>
  <c r="BV17" i="13"/>
  <c r="AV6" i="13"/>
  <c r="M6" i="13"/>
  <c r="AT31" i="13"/>
  <c r="AT20" i="13"/>
  <c r="BN21" i="13"/>
  <c r="BN32" i="13"/>
  <c r="BA37" i="13"/>
  <c r="BA26" i="13"/>
  <c r="BK37" i="13"/>
  <c r="BK26" i="13"/>
  <c r="BU37" i="13"/>
  <c r="BU26" i="13"/>
  <c r="BS28" i="13"/>
  <c r="E17" i="6"/>
  <c r="F17" i="6"/>
  <c r="E18" i="6"/>
  <c r="D18" i="6"/>
  <c r="M18" i="6"/>
  <c r="R18" i="6"/>
  <c r="L18" i="6"/>
  <c r="Q18" i="6"/>
  <c r="P18" i="6"/>
  <c r="C19" i="6"/>
  <c r="D19" i="6"/>
  <c r="K19" i="6"/>
  <c r="L19" i="6"/>
  <c r="O19" i="6"/>
  <c r="P19" i="6"/>
  <c r="G20" i="6"/>
  <c r="F20" i="6"/>
  <c r="T20" i="6"/>
  <c r="N20" i="6"/>
  <c r="I21" i="6"/>
  <c r="J21" i="6"/>
  <c r="M21" i="6"/>
  <c r="S21" i="6"/>
  <c r="N21" i="6"/>
  <c r="D22" i="6"/>
  <c r="E22" i="6"/>
  <c r="R22" i="6"/>
  <c r="M22" i="6"/>
  <c r="L22" i="6"/>
  <c r="C23" i="6"/>
  <c r="D23" i="6"/>
  <c r="M25" i="6"/>
  <c r="S25" i="6"/>
  <c r="N25" i="6"/>
  <c r="R26" i="6"/>
  <c r="L26" i="6"/>
  <c r="H19" i="6"/>
  <c r="N6" i="13"/>
  <c r="BI17" i="13"/>
  <c r="BN28" i="13"/>
  <c r="BN17" i="13"/>
  <c r="BX28" i="13"/>
  <c r="BX17" i="13"/>
  <c r="AU31" i="13"/>
  <c r="AU20" i="13"/>
  <c r="H20" i="13" s="1"/>
  <c r="BF31" i="13"/>
  <c r="BP33" i="13"/>
  <c r="BP22" i="13"/>
  <c r="BJ34" i="13"/>
  <c r="BJ23" i="13"/>
  <c r="BB37" i="13"/>
  <c r="BB26" i="13"/>
  <c r="I26" i="13" s="1"/>
  <c r="BL26" i="13"/>
  <c r="K26" i="13" s="1"/>
  <c r="K15" i="13"/>
  <c r="BV37" i="13"/>
  <c r="BX37" i="13"/>
  <c r="BY28" i="13"/>
  <c r="BU31" i="13"/>
  <c r="BL37" i="13"/>
  <c r="H18" i="6"/>
  <c r="O20" i="6"/>
  <c r="J6" i="13"/>
  <c r="BG29" i="13"/>
  <c r="BG18" i="13"/>
  <c r="J18" i="13" s="1"/>
  <c r="K7" i="13"/>
  <c r="BL18" i="13"/>
  <c r="K18" i="13" s="1"/>
  <c r="BQ29" i="13"/>
  <c r="BQ18" i="13"/>
  <c r="L18" i="13" s="1"/>
  <c r="L7" i="13"/>
  <c r="BV18" i="13"/>
  <c r="CA29" i="13"/>
  <c r="CA18" i="13"/>
  <c r="BA30" i="13"/>
  <c r="BA19" i="13"/>
  <c r="BF19" i="13"/>
  <c r="BK30" i="13"/>
  <c r="BK19" i="13"/>
  <c r="BP19" i="13"/>
  <c r="BU30" i="13"/>
  <c r="BU19" i="13"/>
  <c r="BZ30" i="13"/>
  <c r="BZ19" i="13"/>
  <c r="H9" i="13"/>
  <c r="BI31" i="13"/>
  <c r="BI20" i="13"/>
  <c r="BN31" i="13"/>
  <c r="BN20" i="13"/>
  <c r="BB32" i="13"/>
  <c r="BB21" i="13"/>
  <c r="I21" i="13" s="1"/>
  <c r="I10" i="13"/>
  <c r="BG32" i="13"/>
  <c r="BG21" i="13"/>
  <c r="J21" i="13" s="1"/>
  <c r="BQ32" i="13"/>
  <c r="L10" i="13"/>
  <c r="BV32" i="13"/>
  <c r="BV21" i="13"/>
  <c r="AV10" i="13"/>
  <c r="M10" i="13"/>
  <c r="CA32" i="13"/>
  <c r="CA21" i="13"/>
  <c r="I11" i="13"/>
  <c r="AT35" i="13"/>
  <c r="AT24" i="13"/>
  <c r="AZ35" i="13"/>
  <c r="AZ24" i="13"/>
  <c r="BE35" i="13"/>
  <c r="BE24" i="13"/>
  <c r="BJ35" i="13"/>
  <c r="BO35" i="13"/>
  <c r="BT35" i="13"/>
  <c r="BT24" i="13"/>
  <c r="BY35" i="13"/>
  <c r="BY24" i="13"/>
  <c r="N14" i="13"/>
  <c r="AY25" i="13"/>
  <c r="AY36" i="13"/>
  <c r="BD25" i="13"/>
  <c r="BD36" i="13"/>
  <c r="BI36" i="13"/>
  <c r="BN36" i="13"/>
  <c r="BN25" i="13"/>
  <c r="BS25" i="13"/>
  <c r="BX25" i="13"/>
  <c r="J15" i="13"/>
  <c r="BJ20" i="13"/>
  <c r="BX20" i="13"/>
  <c r="AY21" i="13"/>
  <c r="BL21" i="13"/>
  <c r="K21" i="13" s="1"/>
  <c r="BG22" i="13"/>
  <c r="J22" i="13" s="1"/>
  <c r="BU22" i="13"/>
  <c r="BF23" i="13"/>
  <c r="BT23" i="13"/>
  <c r="BD24" i="13"/>
  <c r="BB25" i="13"/>
  <c r="I25" i="13" s="1"/>
  <c r="BQ25" i="13"/>
  <c r="L25" i="13" s="1"/>
  <c r="AY28" i="13"/>
  <c r="BB29" i="13"/>
  <c r="BS29" i="13"/>
  <c r="BE30" i="13"/>
  <c r="BV33" i="13"/>
  <c r="BP34" i="13"/>
  <c r="BK35" i="13"/>
  <c r="BE36" i="13"/>
  <c r="BZ37" i="13"/>
  <c r="N17" i="6"/>
  <c r="H23" i="6"/>
  <c r="AY34" i="13"/>
  <c r="BA25" i="13"/>
  <c r="BA36" i="13"/>
  <c r="BF25" i="13"/>
  <c r="BF36" i="13"/>
  <c r="BK25" i="13"/>
  <c r="BP25" i="13"/>
  <c r="BU25" i="13"/>
  <c r="BU36" i="13"/>
  <c r="BZ25" i="13"/>
  <c r="BZ36" i="13"/>
  <c r="AZ37" i="13"/>
  <c r="AZ26" i="13"/>
  <c r="BE37" i="13"/>
  <c r="BE26" i="13"/>
  <c r="BJ37" i="13"/>
  <c r="BJ26" i="13"/>
  <c r="BO37" i="13"/>
  <c r="BO26" i="13"/>
  <c r="BT37" i="13"/>
  <c r="BT26" i="13"/>
  <c r="BY37" i="13"/>
  <c r="BY26" i="13"/>
  <c r="BB20" i="13"/>
  <c r="I20" i="13" s="1"/>
  <c r="BV20" i="13"/>
  <c r="BP21" i="13"/>
  <c r="BE22" i="13"/>
  <c r="BY22" i="13"/>
  <c r="AY23" i="13"/>
  <c r="BS23" i="13"/>
  <c r="BG24" i="13"/>
  <c r="J24" i="13" s="1"/>
  <c r="CA24" i="13"/>
  <c r="AZ32" i="13"/>
  <c r="BV35" i="13"/>
  <c r="BP36" i="13"/>
  <c r="AU37" i="13"/>
  <c r="R17" i="6"/>
  <c r="L17" i="6"/>
  <c r="U18" i="6"/>
  <c r="O18" i="6"/>
  <c r="N19" i="6"/>
  <c r="T19" i="6"/>
  <c r="M20" i="6"/>
  <c r="S20" i="6"/>
  <c r="O22" i="6"/>
  <c r="U22" i="6"/>
  <c r="M24" i="6"/>
  <c r="S24" i="6"/>
  <c r="R25" i="6"/>
  <c r="O26" i="6"/>
  <c r="AU28" i="13"/>
  <c r="AZ28" i="13"/>
  <c r="BT28" i="13"/>
  <c r="BN29" i="13"/>
  <c r="BB30" i="13"/>
  <c r="BG30" i="13"/>
  <c r="BL30" i="13"/>
  <c r="BQ30" i="13"/>
  <c r="BV30" i="13"/>
  <c r="CA30" i="13"/>
  <c r="I9" i="13"/>
  <c r="M9" i="13"/>
  <c r="AV9" i="13"/>
  <c r="BA20" i="13"/>
  <c r="BF20" i="13"/>
  <c r="BK31" i="13"/>
  <c r="BK20" i="13"/>
  <c r="BP31" i="13"/>
  <c r="BP20" i="13"/>
  <c r="BU20" i="13"/>
  <c r="BZ20" i="13"/>
  <c r="AU32" i="13"/>
  <c r="AU21" i="13"/>
  <c r="H21" i="13" s="1"/>
  <c r="BE32" i="13"/>
  <c r="BE21" i="13"/>
  <c r="BJ32" i="13"/>
  <c r="BJ21" i="13"/>
  <c r="BO21" i="13"/>
  <c r="BT21" i="13"/>
  <c r="BY32" i="13"/>
  <c r="BY21" i="13"/>
  <c r="AY33" i="13"/>
  <c r="AY22" i="13"/>
  <c r="BD33" i="13"/>
  <c r="BD22" i="13"/>
  <c r="BI22" i="13"/>
  <c r="BN22" i="13"/>
  <c r="BS33" i="13"/>
  <c r="BS22" i="13"/>
  <c r="BX33" i="13"/>
  <c r="BX22" i="13"/>
  <c r="BB34" i="13"/>
  <c r="BB23" i="13"/>
  <c r="I23" i="13" s="1"/>
  <c r="BG34" i="13"/>
  <c r="BG23" i="13"/>
  <c r="J23" i="13" s="1"/>
  <c r="BL34" i="13"/>
  <c r="BL23" i="13"/>
  <c r="K23" i="13" s="1"/>
  <c r="BQ34" i="13"/>
  <c r="BQ23" i="13"/>
  <c r="L23" i="13" s="1"/>
  <c r="BV34" i="13"/>
  <c r="BV23" i="13"/>
  <c r="CA34" i="13"/>
  <c r="CA23" i="13"/>
  <c r="M13" i="13"/>
  <c r="BA35" i="13"/>
  <c r="BA24" i="13"/>
  <c r="BF35" i="13"/>
  <c r="BF24" i="13"/>
  <c r="BK24" i="13"/>
  <c r="BP24" i="13"/>
  <c r="BU35" i="13"/>
  <c r="BU24" i="13"/>
  <c r="BZ35" i="13"/>
  <c r="BZ24" i="13"/>
  <c r="AU36" i="13"/>
  <c r="AZ36" i="13"/>
  <c r="BE25" i="13"/>
  <c r="BO36" i="13"/>
  <c r="BT36" i="13"/>
  <c r="BY25" i="13"/>
  <c r="BI37" i="13"/>
  <c r="BN37" i="13"/>
  <c r="BS26" i="13"/>
  <c r="CA20" i="13"/>
  <c r="BU21" i="13"/>
  <c r="BJ22" i="13"/>
  <c r="BX23" i="13"/>
  <c r="BL24" i="13"/>
  <c r="K24" i="13" s="1"/>
  <c r="AU25" i="13"/>
  <c r="H25" i="13" s="1"/>
  <c r="BI26" i="13"/>
  <c r="BK36" i="13"/>
  <c r="BY36" i="13"/>
  <c r="BS37" i="13"/>
  <c r="AA18" i="7"/>
  <c r="AF18" i="7"/>
  <c r="AK18" i="7"/>
  <c r="AQ18" i="7"/>
  <c r="F21" i="6"/>
  <c r="I22" i="6"/>
  <c r="L23" i="6"/>
  <c r="C24" i="6"/>
  <c r="G24" i="6"/>
  <c r="F25" i="6"/>
  <c r="J25" i="6"/>
  <c r="R20" i="7"/>
  <c r="B9" i="7"/>
  <c r="W20" i="7"/>
  <c r="AB20" i="7"/>
  <c r="AG20" i="7"/>
  <c r="AL20" i="7"/>
  <c r="AR20" i="7"/>
  <c r="L20" i="6"/>
  <c r="R20" i="6"/>
  <c r="U21" i="6"/>
  <c r="O21" i="6"/>
  <c r="N22" i="6"/>
  <c r="T22" i="6"/>
  <c r="L24" i="6"/>
  <c r="R24" i="6"/>
  <c r="U25" i="6"/>
  <c r="O25" i="6"/>
  <c r="N26" i="6"/>
  <c r="T26" i="6"/>
  <c r="M19" i="6"/>
  <c r="T18" i="7"/>
  <c r="C7" i="7"/>
  <c r="Y18" i="7"/>
  <c r="D7" i="7"/>
  <c r="AD18" i="7"/>
  <c r="E7" i="7"/>
  <c r="AI18" i="7"/>
  <c r="AO18" i="7"/>
  <c r="G7" i="7"/>
  <c r="AT18" i="7"/>
  <c r="E9" i="7"/>
  <c r="B10" i="7"/>
  <c r="R21" i="7"/>
  <c r="W21" i="7"/>
  <c r="AB21" i="7"/>
  <c r="AG21" i="7"/>
  <c r="AL21" i="7"/>
  <c r="AR21" i="7"/>
  <c r="AA26" i="7"/>
  <c r="AF26" i="7"/>
  <c r="E15" i="7"/>
  <c r="AK26" i="7"/>
  <c r="AQ26" i="7"/>
  <c r="E26" i="6"/>
  <c r="I26" i="6"/>
  <c r="M26" i="6"/>
  <c r="Q26" i="6"/>
  <c r="AF17" i="7"/>
  <c r="AQ17" i="7"/>
  <c r="G8" i="7"/>
  <c r="AA21" i="7"/>
  <c r="D10" i="7"/>
  <c r="AF21" i="7"/>
  <c r="E10" i="7"/>
  <c r="AK21" i="7"/>
  <c r="F10" i="7"/>
  <c r="AQ21" i="7"/>
  <c r="H10" i="7"/>
  <c r="H11" i="7"/>
  <c r="AI17" i="7"/>
  <c r="S26" i="6"/>
  <c r="C6" i="7"/>
  <c r="T17" i="7"/>
  <c r="AD17" i="7"/>
  <c r="E6" i="7"/>
  <c r="G6" i="7"/>
  <c r="AO17" i="7"/>
  <c r="R19" i="7"/>
  <c r="B8" i="7"/>
  <c r="AB19" i="7"/>
  <c r="AG19" i="7"/>
  <c r="AL19" i="7"/>
  <c r="F8" i="7"/>
  <c r="AR19" i="7"/>
  <c r="C9" i="7"/>
  <c r="X20" i="7"/>
  <c r="D9" i="7"/>
  <c r="AC20" i="7"/>
  <c r="AH20" i="7"/>
  <c r="AN20" i="7"/>
  <c r="G9" i="7"/>
  <c r="AS20" i="7"/>
  <c r="H9" i="7"/>
  <c r="I9" i="7"/>
  <c r="T22" i="7"/>
  <c r="C11" i="7"/>
  <c r="AD22" i="7"/>
  <c r="AI22" i="7"/>
  <c r="AO22" i="7"/>
  <c r="G11" i="7"/>
  <c r="F7" i="7"/>
  <c r="AH18" i="7"/>
  <c r="AN18" i="7"/>
  <c r="Y19" i="7"/>
  <c r="AD19" i="7"/>
  <c r="AT19" i="7"/>
  <c r="AA20" i="7"/>
  <c r="AF20" i="7"/>
  <c r="AK20" i="7"/>
  <c r="AQ20" i="7"/>
  <c r="Y23" i="7"/>
  <c r="AI23" i="7"/>
  <c r="AT23" i="7"/>
  <c r="X24" i="7"/>
  <c r="D13" i="7"/>
  <c r="AC24" i="7"/>
  <c r="E13" i="7"/>
  <c r="AH24" i="7"/>
  <c r="AN24" i="7"/>
  <c r="AS24" i="7"/>
  <c r="H13" i="7"/>
  <c r="I13" i="7"/>
  <c r="W25" i="7"/>
  <c r="AG25" i="7"/>
  <c r="AR25" i="7"/>
  <c r="T26" i="7"/>
  <c r="C15" i="7"/>
  <c r="AD26" i="7"/>
  <c r="AO26" i="7"/>
  <c r="G15" i="7"/>
  <c r="AF17" i="26"/>
  <c r="AF28" i="26"/>
  <c r="AK17" i="26"/>
  <c r="AP17" i="26"/>
  <c r="W17" i="7"/>
  <c r="AB17" i="7"/>
  <c r="AG17" i="7"/>
  <c r="AL17" i="7"/>
  <c r="AR17" i="7"/>
  <c r="X19" i="7"/>
  <c r="E8" i="7"/>
  <c r="AN19" i="7"/>
  <c r="AS19" i="7"/>
  <c r="I8" i="7"/>
  <c r="AA22" i="7"/>
  <c r="AF22" i="7"/>
  <c r="AK22" i="7"/>
  <c r="AQ22" i="7"/>
  <c r="X23" i="7"/>
  <c r="AC23" i="7"/>
  <c r="E12" i="7"/>
  <c r="AH23" i="7"/>
  <c r="F12" i="7"/>
  <c r="AN23" i="7"/>
  <c r="AS23" i="7"/>
  <c r="W24" i="7"/>
  <c r="AG24" i="7"/>
  <c r="AR24" i="7"/>
  <c r="AA25" i="7"/>
  <c r="D14" i="7"/>
  <c r="AF25" i="7"/>
  <c r="AK25" i="7"/>
  <c r="AQ25" i="7"/>
  <c r="CW4" i="26"/>
  <c r="CN4" i="26"/>
  <c r="AQ19" i="26"/>
  <c r="AK23" i="26"/>
  <c r="AM24" i="26"/>
  <c r="AR24" i="26"/>
  <c r="X22" i="7"/>
  <c r="AC22" i="7"/>
  <c r="AH22" i="7"/>
  <c r="AN22" i="7"/>
  <c r="AS22" i="7"/>
  <c r="AA24" i="7"/>
  <c r="AF24" i="7"/>
  <c r="AK24" i="7"/>
  <c r="AQ24" i="7"/>
  <c r="X26" i="7"/>
  <c r="AC26" i="7"/>
  <c r="AH26" i="7"/>
  <c r="AN26" i="7"/>
  <c r="AS26" i="7"/>
  <c r="AA19" i="7"/>
  <c r="AF19" i="7"/>
  <c r="AK19" i="7"/>
  <c r="AQ19" i="7"/>
  <c r="C10" i="7"/>
  <c r="G10" i="7"/>
  <c r="X21" i="7"/>
  <c r="AC21" i="7"/>
  <c r="AH21" i="7"/>
  <c r="AN21" i="7"/>
  <c r="AS21" i="7"/>
  <c r="F11" i="7"/>
  <c r="AA23" i="7"/>
  <c r="AF23" i="7"/>
  <c r="AK23" i="7"/>
  <c r="AQ23" i="7"/>
  <c r="C14" i="7"/>
  <c r="G14" i="7"/>
  <c r="X25" i="7"/>
  <c r="AC25" i="7"/>
  <c r="AH25" i="7"/>
  <c r="AN25" i="7"/>
  <c r="AS25" i="7"/>
  <c r="F15" i="7"/>
  <c r="AR20" i="26"/>
  <c r="AP33" i="26"/>
  <c r="G11" i="26"/>
  <c r="AS17" i="26"/>
  <c r="H17" i="26" s="1"/>
  <c r="AI31" i="26"/>
  <c r="AK32" i="26"/>
  <c r="AP32" i="26"/>
  <c r="AH33" i="26"/>
  <c r="AG34" i="26"/>
  <c r="AL23" i="26"/>
  <c r="AQ23" i="26"/>
  <c r="AK26" i="26"/>
  <c r="AF40" i="26"/>
  <c r="AL28" i="26"/>
  <c r="AQ28" i="26"/>
  <c r="AK29" i="26"/>
  <c r="AP18" i="26"/>
  <c r="AH30" i="26"/>
  <c r="AM30" i="26"/>
  <c r="AH31" i="26"/>
  <c r="AI32" i="26"/>
  <c r="AM21" i="26"/>
  <c r="AS32" i="26"/>
  <c r="AP22" i="26"/>
  <c r="AI34" i="26"/>
  <c r="AP25" i="26"/>
  <c r="AF21" i="26"/>
  <c r="C11" i="14"/>
  <c r="C13" i="14"/>
  <c r="C17" i="14"/>
  <c r="C12" i="14"/>
  <c r="C14" i="14"/>
  <c r="DW23" i="26"/>
  <c r="EB23" i="26"/>
  <c r="DW19" i="26"/>
  <c r="EB19" i="26"/>
  <c r="DW21" i="26"/>
  <c r="EB21" i="26"/>
  <c r="DW37" i="26"/>
  <c r="EB26" i="26"/>
  <c r="DW31" i="26"/>
  <c r="EB20" i="26"/>
  <c r="DW35" i="26"/>
  <c r="EB24" i="26"/>
  <c r="DW29" i="26"/>
  <c r="EB18" i="26"/>
  <c r="DW33" i="26"/>
  <c r="EB22" i="26"/>
  <c r="DW25" i="26"/>
  <c r="EB25" i="26"/>
  <c r="DY29" i="26"/>
  <c r="DY28" i="26"/>
  <c r="EA28" i="26"/>
  <c r="C18" i="14"/>
  <c r="C15" i="14"/>
  <c r="C19" i="14"/>
  <c r="DY31" i="26"/>
  <c r="DY25" i="26"/>
  <c r="DY23" i="26"/>
  <c r="DY19" i="26"/>
  <c r="DY21" i="26"/>
  <c r="DX30" i="26"/>
  <c r="AR19" i="26"/>
  <c r="AN25" i="26"/>
  <c r="G25" i="26" s="1"/>
  <c r="AF18" i="26"/>
  <c r="AQ29" i="26"/>
  <c r="AF31" i="26"/>
  <c r="AP36" i="26"/>
  <c r="AN17" i="26"/>
  <c r="G17" i="26" s="1"/>
  <c r="AN30" i="26"/>
  <c r="AI35" i="26"/>
  <c r="DY35" i="26"/>
  <c r="AK36" i="26"/>
  <c r="AH40" i="26"/>
  <c r="AR40" i="26"/>
  <c r="AK18" i="26"/>
  <c r="AM19" i="26"/>
  <c r="AK20" i="26"/>
  <c r="AP28" i="26"/>
  <c r="AH29" i="26"/>
  <c r="AM18" i="26"/>
  <c r="AR18" i="26"/>
  <c r="DX29" i="26"/>
  <c r="AK30" i="26"/>
  <c r="AP30" i="26"/>
  <c r="F9" i="26"/>
  <c r="AN21" i="26"/>
  <c r="G21" i="26" s="1"/>
  <c r="AS21" i="26"/>
  <c r="H21" i="26" s="1"/>
  <c r="AM34" i="26"/>
  <c r="AR23" i="26"/>
  <c r="DX34" i="26"/>
  <c r="AK35" i="26"/>
  <c r="AP35" i="26"/>
  <c r="F14" i="26"/>
  <c r="AG36" i="26"/>
  <c r="AL36" i="26"/>
  <c r="AQ36" i="26"/>
  <c r="AP40" i="26"/>
  <c r="AS26" i="26"/>
  <c r="H26" i="26" s="1"/>
  <c r="AM20" i="26"/>
  <c r="AL21" i="26"/>
  <c r="AH22" i="26"/>
  <c r="AF23" i="26"/>
  <c r="BA28" i="26"/>
  <c r="BA32" i="26"/>
  <c r="AF36" i="26"/>
  <c r="AR17" i="26"/>
  <c r="AM22" i="26"/>
  <c r="AR22" i="26"/>
  <c r="AS25" i="26"/>
  <c r="H25" i="26" s="1"/>
  <c r="AR30" i="26"/>
  <c r="AM40" i="26"/>
  <c r="DX37" i="26"/>
  <c r="AN22" i="26"/>
  <c r="G22" i="26" s="1"/>
  <c r="AN24" i="26"/>
  <c r="G24" i="26" s="1"/>
  <c r="AK25" i="26"/>
  <c r="AK28" i="26"/>
  <c r="BA36" i="26"/>
  <c r="F6" i="26"/>
  <c r="AN18" i="26"/>
  <c r="G18" i="26" s="1"/>
  <c r="AG32" i="26"/>
  <c r="F11" i="26"/>
  <c r="AM33" i="26"/>
  <c r="G14" i="26"/>
  <c r="AS36" i="26"/>
  <c r="AH19" i="26"/>
  <c r="AP20" i="26"/>
  <c r="AG23" i="26"/>
  <c r="AS24" i="26"/>
  <c r="H24" i="26" s="1"/>
  <c r="AS31" i="26"/>
  <c r="AR33" i="26"/>
  <c r="AN35" i="26"/>
  <c r="AN36" i="26"/>
  <c r="AF24" i="26"/>
  <c r="AS40" i="26"/>
  <c r="AH28" i="26"/>
  <c r="DX28" i="26"/>
  <c r="AI29" i="26"/>
  <c r="AS29" i="26"/>
  <c r="AG35" i="26"/>
  <c r="AG24" i="26"/>
  <c r="AQ35" i="26"/>
  <c r="AQ24" i="26"/>
  <c r="AH36" i="26"/>
  <c r="DX36" i="26"/>
  <c r="AQ17" i="26"/>
  <c r="AS18" i="26"/>
  <c r="H18" i="26" s="1"/>
  <c r="AP19" i="26"/>
  <c r="AM26" i="26"/>
  <c r="AS28" i="26"/>
  <c r="AR29" i="26"/>
  <c r="AG30" i="26"/>
  <c r="AN31" i="26"/>
  <c r="AG33" i="26"/>
  <c r="AR35" i="26"/>
  <c r="BA40" i="26"/>
  <c r="DX33" i="26"/>
  <c r="AK34" i="26"/>
  <c r="AP34" i="26"/>
  <c r="AL17" i="26"/>
  <c r="AH18" i="26"/>
  <c r="AK19" i="26"/>
  <c r="AS20" i="26"/>
  <c r="H20" i="26" s="1"/>
  <c r="AH21" i="26"/>
  <c r="AP21" i="26"/>
  <c r="AM23" i="26"/>
  <c r="AI24" i="26"/>
  <c r="F24" i="26" s="1"/>
  <c r="AP24" i="26"/>
  <c r="AL25" i="26"/>
  <c r="AR25" i="26"/>
  <c r="AH26" i="26"/>
  <c r="AN26" i="26"/>
  <c r="G26" i="26" s="1"/>
  <c r="AG28" i="26"/>
  <c r="AG29" i="26"/>
  <c r="AM29" i="26"/>
  <c r="BA29" i="26"/>
  <c r="AR34" i="26"/>
  <c r="AS35" i="26"/>
  <c r="AI36" i="26"/>
  <c r="AN40" i="26"/>
  <c r="AR26" i="26"/>
  <c r="AL30" i="26"/>
  <c r="AI40" i="26"/>
  <c r="AM28" i="26"/>
  <c r="AR28" i="26"/>
  <c r="AN29" i="26"/>
  <c r="AL22" i="26"/>
  <c r="AQ22" i="26"/>
  <c r="AI23" i="26"/>
  <c r="F23" i="26" s="1"/>
  <c r="F12" i="26"/>
  <c r="AN23" i="26"/>
  <c r="G23" i="26" s="1"/>
  <c r="AN34" i="26"/>
  <c r="BA34" i="26"/>
  <c r="AS23" i="26"/>
  <c r="H23" i="26" s="1"/>
  <c r="AS34" i="26"/>
  <c r="AL35" i="26"/>
  <c r="AL24" i="26"/>
  <c r="AM36" i="26"/>
  <c r="AR36" i="26"/>
  <c r="DY37" i="26"/>
  <c r="AQ25" i="26"/>
  <c r="AH34" i="26"/>
  <c r="AH35" i="26"/>
  <c r="AK40" i="26"/>
  <c r="F7" i="26"/>
  <c r="AL18" i="26"/>
  <c r="AQ18" i="26"/>
  <c r="AI19" i="26"/>
  <c r="F19" i="26" s="1"/>
  <c r="F8" i="26"/>
  <c r="AN19" i="26"/>
  <c r="G19" i="26" s="1"/>
  <c r="BA30" i="26"/>
  <c r="AS19" i="26"/>
  <c r="H19" i="26" s="1"/>
  <c r="AG31" i="26"/>
  <c r="AG20" i="26"/>
  <c r="AL31" i="26"/>
  <c r="AL20" i="26"/>
  <c r="AQ31" i="26"/>
  <c r="AQ20" i="26"/>
  <c r="AH32" i="26"/>
  <c r="AM32" i="26"/>
  <c r="AR32" i="26"/>
  <c r="DX32" i="26"/>
  <c r="AI33" i="26"/>
  <c r="AN33" i="26"/>
  <c r="AS33" i="26"/>
  <c r="DY33" i="26"/>
  <c r="F15" i="26"/>
  <c r="AG26" i="26"/>
  <c r="AG40" i="26"/>
  <c r="AL26" i="26"/>
  <c r="AL40" i="26"/>
  <c r="AQ26" i="26"/>
  <c r="AQ40" i="26"/>
  <c r="AM17" i="26"/>
  <c r="AI18" i="26"/>
  <c r="F18" i="26" s="1"/>
  <c r="AF19" i="26"/>
  <c r="AN20" i="26"/>
  <c r="G20" i="26" s="1"/>
  <c r="AK21" i="26"/>
  <c r="AQ21" i="26"/>
  <c r="AS22" i="26"/>
  <c r="H22" i="26" s="1"/>
  <c r="AP23" i="26"/>
  <c r="AK24" i="26"/>
  <c r="AG25" i="26"/>
  <c r="AM25" i="26"/>
  <c r="AI28" i="26"/>
  <c r="AP29" i="26"/>
  <c r="AI30" i="26"/>
  <c r="AQ30" i="26"/>
  <c r="AR31" i="26"/>
  <c r="AK33" i="26"/>
  <c r="AQ33" i="26"/>
  <c r="AL34" i="26"/>
  <c r="AM35" i="26"/>
  <c r="DX31" i="26"/>
  <c r="DX35" i="26"/>
  <c r="CW6" i="26"/>
  <c r="CW7" i="26"/>
  <c r="CW8" i="26"/>
  <c r="DX17" i="26"/>
  <c r="DW18" i="26"/>
  <c r="DY18" i="26"/>
  <c r="DX19" i="26"/>
  <c r="DW20" i="26"/>
  <c r="DY20" i="26"/>
  <c r="DX21" i="26"/>
  <c r="DW22" i="26"/>
  <c r="DY22" i="26"/>
  <c r="DX23" i="26"/>
  <c r="DW24" i="26"/>
  <c r="DY24" i="26"/>
  <c r="DX25" i="26"/>
  <c r="DW26" i="26"/>
  <c r="DY26" i="26"/>
  <c r="DW28" i="26"/>
  <c r="DW30" i="26"/>
  <c r="DY30" i="26"/>
  <c r="DW32" i="26"/>
  <c r="DY32" i="26"/>
  <c r="DW34" i="26"/>
  <c r="DY34" i="26"/>
  <c r="DW36" i="26"/>
  <c r="DY36" i="26"/>
  <c r="DX18" i="26"/>
  <c r="DX20" i="26"/>
  <c r="DX22" i="26"/>
  <c r="DX24" i="26"/>
  <c r="DX26" i="26"/>
  <c r="I26" i="7" l="1"/>
  <c r="E22" i="7"/>
  <c r="J15" i="14"/>
  <c r="C15" i="11"/>
  <c r="J12" i="14"/>
  <c r="C12" i="11"/>
  <c r="J14" i="14"/>
  <c r="C14" i="11"/>
  <c r="J19" i="14"/>
  <c r="C19" i="11"/>
  <c r="J18" i="14"/>
  <c r="C18" i="11"/>
  <c r="J17" i="14"/>
  <c r="C17" i="11"/>
  <c r="J13" i="14"/>
  <c r="C13" i="11"/>
  <c r="J11" i="14"/>
  <c r="C11" i="11"/>
  <c r="C10" i="10"/>
  <c r="C7" i="10"/>
  <c r="C9" i="10"/>
  <c r="C12" i="10"/>
  <c r="C13" i="10"/>
  <c r="C11" i="10"/>
  <c r="C8" i="10"/>
  <c r="C59" i="9"/>
  <c r="E23" i="7"/>
  <c r="C26" i="7"/>
  <c r="AW25" i="13"/>
  <c r="E19" i="7"/>
  <c r="H24" i="7"/>
  <c r="M19" i="13"/>
  <c r="C18" i="7"/>
  <c r="I23" i="7"/>
  <c r="G21" i="7"/>
  <c r="C25" i="7"/>
  <c r="C21" i="7"/>
  <c r="F18" i="7"/>
  <c r="E20" i="7"/>
  <c r="N22" i="13"/>
  <c r="M26" i="13"/>
  <c r="G24" i="7"/>
  <c r="C14" i="17"/>
  <c r="I25" i="7"/>
  <c r="C14" i="19"/>
  <c r="F22" i="7"/>
  <c r="C22" i="7"/>
  <c r="G17" i="7"/>
  <c r="C17" i="7"/>
  <c r="I17" i="7"/>
  <c r="AW19" i="13"/>
  <c r="I19" i="7"/>
  <c r="C21" i="17"/>
  <c r="E26" i="7"/>
  <c r="C15" i="19"/>
  <c r="H23" i="7"/>
  <c r="D19" i="7"/>
  <c r="I18" i="7"/>
  <c r="C23" i="7"/>
  <c r="F25" i="7"/>
  <c r="C22" i="17"/>
  <c r="D24" i="7"/>
  <c r="G20" i="7"/>
  <c r="E21" i="7"/>
  <c r="D23" i="7"/>
  <c r="M24" i="13"/>
  <c r="C24" i="7"/>
  <c r="F23" i="7"/>
  <c r="E24" i="7"/>
  <c r="E18" i="7"/>
  <c r="F26" i="7"/>
  <c r="G22" i="7"/>
  <c r="D22" i="7"/>
  <c r="H20" i="7"/>
  <c r="C20" i="7"/>
  <c r="F20" i="7"/>
  <c r="C24" i="17"/>
  <c r="C23" i="17"/>
  <c r="D17" i="7"/>
  <c r="G25" i="7"/>
  <c r="CO4" i="26"/>
  <c r="CY4" i="26" s="1"/>
  <c r="CX4" i="26"/>
  <c r="G26" i="7"/>
  <c r="I24" i="7"/>
  <c r="C19" i="7"/>
  <c r="E17" i="7"/>
  <c r="G19" i="7"/>
  <c r="H19" i="7"/>
  <c r="H22" i="7"/>
  <c r="H26" i="7"/>
  <c r="H21" i="7"/>
  <c r="AW23" i="13"/>
  <c r="N23" i="13"/>
  <c r="AV18" i="13"/>
  <c r="M18" i="13"/>
  <c r="G23" i="7"/>
  <c r="D20" i="7"/>
  <c r="F19" i="7"/>
  <c r="F17" i="7"/>
  <c r="F24" i="7"/>
  <c r="H25" i="7"/>
  <c r="G18" i="7"/>
  <c r="H18" i="7"/>
  <c r="D26" i="7"/>
  <c r="AV17" i="13"/>
  <c r="M17" i="13"/>
  <c r="AV25" i="13"/>
  <c r="M25" i="13"/>
  <c r="AW17" i="13"/>
  <c r="N17" i="13"/>
  <c r="AW20" i="13"/>
  <c r="N20" i="13"/>
  <c r="N24" i="13"/>
  <c r="AW24" i="13"/>
  <c r="D25" i="7"/>
  <c r="E25" i="7"/>
  <c r="H17" i="7"/>
  <c r="AV22" i="13"/>
  <c r="M22" i="13"/>
  <c r="I22" i="7"/>
  <c r="I20" i="7"/>
  <c r="F21" i="7"/>
  <c r="D21" i="7"/>
  <c r="I21" i="7"/>
  <c r="D18" i="7"/>
  <c r="AV23" i="13"/>
  <c r="M23" i="13"/>
  <c r="AV20" i="13"/>
  <c r="M20" i="13"/>
  <c r="N21" i="13"/>
  <c r="AW21" i="13"/>
  <c r="M21" i="13"/>
  <c r="AV21" i="13"/>
  <c r="N18" i="13"/>
  <c r="AW18" i="13"/>
  <c r="AW26" i="13"/>
  <c r="N26" i="13"/>
  <c r="C7" i="17" l="1"/>
  <c r="C8" i="17"/>
  <c r="CP4" i="26"/>
  <c r="CZ4" i="26" s="1"/>
  <c r="CQ4" i="26" l="1"/>
  <c r="CR4" i="26" l="1"/>
  <c r="CS4" i="26" s="1"/>
  <c r="CT4" i="26" s="1"/>
  <c r="CU4" i="26" s="1"/>
  <c r="CV4" i="26" s="1"/>
  <c r="DA4" i="26"/>
  <c r="C20" i="14" l="1"/>
  <c r="C20" i="11" s="1"/>
  <c r="B86" i="14" l="1"/>
  <c r="B86" i="11" s="1"/>
  <c r="B20" i="14" l="1"/>
  <c r="J86" i="14"/>
  <c r="J20" i="14" l="1"/>
  <c r="B20" i="1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(value index)
</t>
        </r>
      </text>
    </comment>
  </commentList>
</comments>
</file>

<file path=xl/comments10.xml><?xml version="1.0" encoding="utf-8"?>
<comments xmlns="http://schemas.openxmlformats.org/spreadsheetml/2006/main">
  <authors>
    <author>A satisfied Microsoft Office user</author>
    <author>Senior Statiscial Assistant (Leveni)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This table should be exactly the same as the Stats CPI</t>
        </r>
      </text>
    </comment>
    <comment ref="O4" authorId="1" shapeId="0">
      <text>
        <r>
          <rPr>
            <b/>
            <sz val="10"/>
            <color indexed="81"/>
            <rFont val="Tahoma"/>
            <family val="2"/>
          </rPr>
          <t>Senior Statiscial Assistant (Leveni):</t>
        </r>
        <r>
          <rPr>
            <sz val="10"/>
            <color indexed="81"/>
            <rFont val="Tahoma"/>
            <family val="2"/>
          </rPr>
          <t xml:space="preserve">
Base Year =  1995 starts here
</t>
        </r>
      </text>
    </comment>
    <comment ref="A6" authorId="0" shapeId="0">
      <text>
        <r>
          <rPr>
            <sz val="8"/>
            <color indexed="81"/>
            <rFont val="Tahoma"/>
            <family val="2"/>
          </rPr>
          <t>source:  for Underlying CPI file in f:/database/econ_ind/ei_price; Row titles:CPI Index Values-Quarterly Index Values. Rest of data from CPI.XLW (CPI_levels)</t>
        </r>
      </text>
    </comment>
  </commentList>
</comments>
</file>

<file path=xl/comments11.xml><?xml version="1.0" encoding="utf-8"?>
<comments xmlns="http://schemas.openxmlformats.org/spreadsheetml/2006/main">
  <authors>
    <author>A satisfied Microsoft Office user</author>
    <author>Viena Vaka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Source: f:\database\econsect\natac\agricult\tal_mkt.xls [Bull_qtr] (volume index)</t>
        </r>
      </text>
    </comment>
    <comment ref="C9" authorId="1" shapeId="0">
      <text>
        <r>
          <rPr>
            <b/>
            <sz val="8"/>
            <color indexed="81"/>
            <rFont val="Tahoma"/>
            <family val="2"/>
          </rPr>
          <t>ána
this is a revised figures, which was done on the 18th of December 2002.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2" authorId="0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(volume index)
43 - 50
</t>
        </r>
      </text>
    </comment>
  </commentList>
</comments>
</file>

<file path=xl/comments12.xml><?xml version="1.0" encoding="utf-8"?>
<comments xmlns="http://schemas.openxmlformats.org/spreadsheetml/2006/main">
  <authors>
    <author>A satisfied Microsoft Office user</author>
    <author>Senior Statiscial Assistant (Leveni)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This table should be exactly the same as the Stats CPI</t>
        </r>
      </text>
    </comment>
    <comment ref="M4" authorId="1" shapeId="0">
      <text>
        <r>
          <rPr>
            <b/>
            <sz val="10"/>
            <color indexed="81"/>
            <rFont val="Tahoma"/>
            <family val="2"/>
          </rPr>
          <t>Senior Statiscial Assistant (Leveni):</t>
        </r>
        <r>
          <rPr>
            <sz val="10"/>
            <color indexed="81"/>
            <rFont val="Tahoma"/>
            <family val="2"/>
          </rPr>
          <t xml:space="preserve">
Base Year =  1995 starts here
</t>
        </r>
      </text>
    </comment>
    <comment ref="A6" authorId="0" shapeId="0">
      <text>
        <r>
          <rPr>
            <sz val="8"/>
            <color indexed="81"/>
            <rFont val="Tahoma"/>
            <family val="2"/>
          </rPr>
          <t>source:  for Underlying CPI file in f:/database/econ_ind/ei_price; Row titles:CPI Index Values-Quarterly Index Values. Rest of data from CPI.XLW (CPI_levels)</t>
        </r>
      </text>
    </comment>
  </commentList>
</comments>
</file>

<file path=xl/comments13.xml><?xml version="1.0" encoding="utf-8"?>
<comments xmlns="http://schemas.openxmlformats.org/spreadsheetml/2006/main">
  <authors>
    <author>A satisfied Microsoft Office user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This table should be exactly the same as the Stats CPI</t>
        </r>
      </text>
    </comment>
    <comment ref="A6" authorId="0" shapeId="0">
      <text>
        <r>
          <rPr>
            <sz val="8"/>
            <color indexed="81"/>
            <rFont val="Tahoma"/>
            <family val="2"/>
          </rPr>
          <t>source:  for Underlying CPI file in f:/database/econ_ind/ei_price; Row titles:CPI Index Values-Quarterly Index Values. Rest of data from CPI.XLW (CPI_levels)</t>
        </r>
      </text>
    </comment>
  </commentList>
</comments>
</file>

<file path=xl/comments14.xml><?xml version="1.0" encoding="utf-8"?>
<comments xmlns="http://schemas.openxmlformats.org/spreadsheetml/2006/main">
  <authors>
    <author>Potesia Pulu</author>
    <author>Veisinia Tonga</author>
    <author>a.kavaliku</author>
  </authors>
  <commentList>
    <comment ref="EN17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S17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T17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S18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T18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V18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W18" authorId="1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Official data</t>
        </r>
      </text>
    </comment>
    <comment ref="EL19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M19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N19" authorId="0" shapeId="0">
      <text>
        <r>
          <rPr>
            <sz val="9"/>
            <color indexed="81"/>
            <rFont val="Tahoma"/>
            <family val="2"/>
          </rPr>
          <t>official data</t>
        </r>
      </text>
    </comment>
    <comment ref="EO19" authorId="0" shapeId="0">
      <text>
        <r>
          <rPr>
            <sz val="9"/>
            <color indexed="81"/>
            <rFont val="Tahoma"/>
            <family val="2"/>
          </rPr>
          <t>official data</t>
        </r>
      </text>
    </comment>
    <comment ref="ET19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V19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L20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M20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N20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W20" authorId="1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Official data</t>
        </r>
      </text>
    </comment>
    <comment ref="EO21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M22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O22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S22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L23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M23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N23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O23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R23" authorId="0" shapeId="0">
      <text>
        <r>
          <rPr>
            <sz val="9"/>
            <color indexed="81"/>
            <rFont val="Tahoma"/>
            <family val="2"/>
          </rPr>
          <t>official data</t>
        </r>
      </text>
    </comment>
    <comment ref="ES23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DC25" authorId="2" shapeId="0">
      <text>
        <r>
          <rPr>
            <b/>
            <sz val="8"/>
            <color indexed="81"/>
            <rFont val="Tahoma"/>
            <family val="2"/>
          </rPr>
          <t>a.kavaliku:</t>
        </r>
        <r>
          <rPr>
            <sz val="8"/>
            <color indexed="81"/>
            <rFont val="Tahoma"/>
            <family val="2"/>
          </rPr>
          <t xml:space="preserve">
paste value so it can be consistent with the Stats dept CPI Report</t>
        </r>
      </text>
    </comment>
    <comment ref="ES25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N26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EQ26" authorId="0" shapeId="0">
      <text>
        <r>
          <rPr>
            <sz val="9"/>
            <color indexed="81"/>
            <rFont val="Tahoma"/>
            <family val="2"/>
          </rPr>
          <t>official data</t>
        </r>
      </text>
    </comment>
    <comment ref="EV26" authorId="0" shapeId="0">
      <text>
        <r>
          <rPr>
            <b/>
            <sz val="9"/>
            <color indexed="81"/>
            <rFont val="Tahoma"/>
            <family val="2"/>
          </rPr>
          <t>official data</t>
        </r>
      </text>
    </comment>
    <comment ref="CU28" authorId="2" shapeId="0">
      <text>
        <r>
          <rPr>
            <b/>
            <sz val="9"/>
            <color indexed="81"/>
            <rFont val="Tahoma"/>
            <family val="2"/>
          </rPr>
          <t>a.kavaliku:</t>
        </r>
        <r>
          <rPr>
            <sz val="9"/>
            <color indexed="81"/>
            <rFont val="Tahoma"/>
            <family val="2"/>
          </rPr>
          <t xml:space="preserve">
revised figures from here onward (19/5/09)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Source: f:\database\econsect\natac\agricult\tal_mkt.xls [Bull_qtr] (volume index)</t>
        </r>
      </text>
    </comment>
    <comment ref="A106" authorId="0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(volume index)
43 - 50
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(unit values index)
</t>
        </r>
      </text>
    </comment>
    <comment ref="A106" authorId="0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(unit values index)
64 - 71
</t>
        </r>
      </text>
    </comment>
  </commentList>
</comments>
</file>

<file path=xl/comments4.xml><?xml version="1.0" encoding="utf-8"?>
<comments xmlns="http://schemas.openxmlformats.org/spreadsheetml/2006/main">
  <authors>
    <author>sebastian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sebastian:
Source:
F\sys\database\survey\real\Tal_mkt_2000.xls</t>
        </r>
      </text>
    </comment>
  </commentList>
</comments>
</file>

<file path=xl/comments5.xml><?xml version="1.0" encoding="utf-8"?>
<comments xmlns="http://schemas.openxmlformats.org/spreadsheetml/2006/main">
  <authors>
    <author>A satisfied Microsoft Office user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Source: f:\database\econsect\natac\agricult\tal_mkt.xls [Bull_qtr] (volume index)</t>
        </r>
      </text>
    </comment>
    <comment ref="A56" authorId="0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(volume index)
43 - 50
</t>
        </r>
      </text>
    </comment>
  </commentList>
</comments>
</file>

<file path=xl/comments6.xml><?xml version="1.0" encoding="utf-8"?>
<comments xmlns="http://schemas.openxmlformats.org/spreadsheetml/2006/main">
  <authors>
    <author>sebastian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 xml:space="preserve">Source: MAFF 
</t>
        </r>
        <r>
          <rPr>
            <sz val="8"/>
            <color indexed="81"/>
            <rFont val="Tahoma"/>
            <family val="2"/>
          </rPr>
          <t>Domestic Agricultural Markets database
f</t>
        </r>
        <r>
          <rPr>
            <u/>
            <sz val="8"/>
            <color indexed="81"/>
            <rFont val="Tahoma"/>
            <family val="2"/>
          </rPr>
          <t>ile:///J:\CoreData\RealSector\Primary\Agriculture\DomesticAgriculturalMarkets\DomesticAgriculturalMarkets.xlsx</t>
        </r>
      </text>
    </comment>
  </commentList>
</comments>
</file>

<file path=xl/comments7.xml><?xml version="1.0" encoding="utf-8"?>
<comments xmlns="http://schemas.openxmlformats.org/spreadsheetml/2006/main">
  <authors>
    <author>sebastian</author>
    <author>Viena Vaka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sebastian:
Source:
F\sys\database\survey\real\Tal_mkt_2000.xls</t>
        </r>
      </text>
    </comment>
    <comment ref="A52" authorId="1" shapeId="0">
      <text>
        <r>
          <rPr>
            <b/>
            <sz val="8"/>
            <color indexed="81"/>
            <rFont val="Tahoma"/>
            <family val="2"/>
          </rPr>
          <t>Viena Vaka:</t>
        </r>
        <r>
          <rPr>
            <sz val="8"/>
            <color indexed="81"/>
            <rFont val="Tahoma"/>
            <family val="2"/>
          </rPr>
          <t xml:space="preserve">
Figures inserted directly from the Talamahu market reports</t>
        </r>
      </text>
    </comment>
  </commentList>
</comments>
</file>

<file path=xl/comments8.xml><?xml version="1.0" encoding="utf-8"?>
<comments xmlns="http://schemas.openxmlformats.org/spreadsheetml/2006/main">
  <authors>
    <author>A satisfied Microsoft Office user</author>
  </authors>
  <commentList>
    <comment ref="A1" authorId="0" shapeId="0">
      <text>
        <r>
          <rPr>
            <sz val="8"/>
            <color indexed="81"/>
            <rFont val="Tahoma"/>
            <family val="2"/>
          </rPr>
          <t>Source: f:\database\econsect\natac\agricult\tal_mkt.xls [Bull_qtr] (volume index)</t>
        </r>
      </text>
    </comment>
  </commentList>
</comments>
</file>

<file path=xl/comments9.xml><?xml version="1.0" encoding="utf-8"?>
<comments xmlns="http://schemas.openxmlformats.org/spreadsheetml/2006/main">
  <authors>
    <author>Fataki Leveni</author>
    <author>A satisfied Microsoft Office user</author>
  </authors>
  <commentList>
    <comment ref="A2" authorId="0" shapeId="0">
      <text>
        <r>
          <rPr>
            <b/>
            <sz val="8"/>
            <color indexed="81"/>
            <rFont val="Tahoma"/>
            <family val="2"/>
          </rPr>
          <t>Fataki Leveni:
Source: f:\database\econsect\natac\agricult\tal_mkt.xls [Bull_qtr] (unit values index)</t>
        </r>
      </text>
    </comment>
    <comment ref="A58" authorId="1" shapeId="0">
      <text>
        <r>
          <rPr>
            <sz val="8"/>
            <color indexed="81"/>
            <rFont val="Tahoma"/>
            <family val="2"/>
          </rPr>
          <t xml:space="preserve">Source: f:\database\econsect\natac\agricult\tal_mkt.xls [Bull_qtr] (unit values index)
64 - 71
</t>
        </r>
      </text>
    </comment>
  </commentList>
</comments>
</file>

<file path=xl/sharedStrings.xml><?xml version="1.0" encoding="utf-8"?>
<sst xmlns="http://schemas.openxmlformats.org/spreadsheetml/2006/main" count="1943" uniqueCount="321">
  <si>
    <t>Table D1:  INDICATORS OF ECONOMIC ACTIVITY</t>
  </si>
  <si>
    <t>(Units as specified)</t>
  </si>
  <si>
    <t xml:space="preserve"> </t>
  </si>
  <si>
    <t>Electricity</t>
  </si>
  <si>
    <t>Retail</t>
  </si>
  <si>
    <t>New</t>
  </si>
  <si>
    <t>During:</t>
  </si>
  <si>
    <t>Consumed</t>
  </si>
  <si>
    <t>petrol</t>
  </si>
  <si>
    <t xml:space="preserve">prices </t>
  </si>
  <si>
    <t xml:space="preserve">registrations </t>
  </si>
  <si>
    <t>prices</t>
  </si>
  <si>
    <t>2/</t>
  </si>
  <si>
    <t>of</t>
  </si>
  <si>
    <t>1/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</si>
  <si>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</si>
  <si>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</si>
  <si>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</si>
  <si>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</si>
  <si>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</si>
  <si>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</si>
  <si>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</si>
  <si>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</si>
  <si>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</si>
  <si>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</si>
  <si>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</si>
  <si>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</si>
  <si>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Q1</t>
  </si>
  <si>
    <t>Q2</t>
  </si>
  <si>
    <t>Q3</t>
  </si>
  <si>
    <t>Q4</t>
  </si>
  <si>
    <t>1988</t>
  </si>
  <si>
    <t>1989</t>
  </si>
  <si>
    <t>1990</t>
  </si>
  <si>
    <t>1991</t>
  </si>
  <si>
    <t>See Notes to Statistical Tables</t>
  </si>
  <si>
    <t>S20</t>
  </si>
  <si>
    <t>Table D2:  AGRICULTURAL PRODUCTS MARKETED IN TONGA: VALUES</t>
  </si>
  <si>
    <t xml:space="preserve"> (Indexes: 1987/88 = 100)   1/</t>
  </si>
  <si>
    <t>Total</t>
  </si>
  <si>
    <t>Root</t>
  </si>
  <si>
    <t>Coconuts</t>
  </si>
  <si>
    <t>Bananas</t>
  </si>
  <si>
    <t>Watermelon</t>
  </si>
  <si>
    <t>Other</t>
  </si>
  <si>
    <t>Vegetables</t>
  </si>
  <si>
    <t>Miscellaneous</t>
  </si>
  <si>
    <t>crops   2/</t>
  </si>
  <si>
    <t>fruit</t>
  </si>
  <si>
    <t>1992</t>
  </si>
  <si>
    <t>Source:  Ministry of Agriculture</t>
  </si>
  <si>
    <t>S21</t>
  </si>
  <si>
    <t>Table D3:  AGRICULTURAL PRODUCTS MARKETED IN TONGA: VOLUMES</t>
  </si>
  <si>
    <t>(Indexes: 1987/88 = 100)   1/</t>
  </si>
  <si>
    <t>1986</t>
  </si>
  <si>
    <t>1987</t>
  </si>
  <si>
    <t>-</t>
  </si>
  <si>
    <t>Production notes</t>
  </si>
  <si>
    <t>Coconut products includes coconut whole and green coconut</t>
  </si>
  <si>
    <t>Fish includes only 031.1 and 031.11</t>
  </si>
  <si>
    <t>Manufactured goods includes SITC-6 &amp; 8</t>
  </si>
  <si>
    <t>Major drop in the manufactured goods during 1990 Q3 was due to drop in clothing knitted,footwear</t>
  </si>
  <si>
    <t>and all other goods and articles n.e.c.</t>
  </si>
  <si>
    <t>S22</t>
  </si>
  <si>
    <t>Table D4:  AGRICULTURAL PRODUCTS MARKETED IN TONGA: UNIT VALUES</t>
  </si>
  <si>
    <t>(Indexes: 1987/88 = 100)  1/</t>
  </si>
  <si>
    <t>crops 2/</t>
  </si>
  <si>
    <t>1985</t>
  </si>
  <si>
    <t>S23</t>
  </si>
  <si>
    <t>Table D5:  MANUFACTURING ACTIVITY IN TONGA</t>
  </si>
  <si>
    <t>(Units as Specified)</t>
  </si>
  <si>
    <t>Total Manufacturing</t>
  </si>
  <si>
    <t>Of which:</t>
  </si>
  <si>
    <t>Food, beverages,tobacco</t>
  </si>
  <si>
    <t>Textiles &amp; wearing apparel</t>
  </si>
  <si>
    <t>Value of</t>
  </si>
  <si>
    <t>Wages &amp;</t>
  </si>
  <si>
    <t>Paid</t>
  </si>
  <si>
    <t xml:space="preserve">Average </t>
  </si>
  <si>
    <t>sales</t>
  </si>
  <si>
    <t>salaries</t>
  </si>
  <si>
    <t>employ-</t>
  </si>
  <si>
    <t>earnings</t>
  </si>
  <si>
    <t>paid</t>
  </si>
  <si>
    <t>ment</t>
  </si>
  <si>
    <t>/quarter</t>
  </si>
  <si>
    <t>($M)</t>
  </si>
  <si>
    <t>(No.)</t>
  </si>
  <si>
    <t>($)</t>
  </si>
  <si>
    <t>1993</t>
  </si>
  <si>
    <t>Source:  Department of Statistics</t>
  </si>
  <si>
    <t>FILE: B92Q1QMS</t>
  </si>
  <si>
    <t>1983/84</t>
  </si>
  <si>
    <t>Index November 1995 = 100</t>
  </si>
  <si>
    <t>All items</t>
  </si>
  <si>
    <t xml:space="preserve">  Local component</t>
  </si>
  <si>
    <t xml:space="preserve">  Imported component</t>
  </si>
  <si>
    <t xml:space="preserve">     Food</t>
  </si>
  <si>
    <t xml:space="preserve">     Housing</t>
  </si>
  <si>
    <t xml:space="preserve">     Household goods</t>
  </si>
  <si>
    <t xml:space="preserve">     Clothing and footwear</t>
  </si>
  <si>
    <t xml:space="preserve">     Transportation</t>
  </si>
  <si>
    <t xml:space="preserve">     Tobacco and alcohol</t>
  </si>
  <si>
    <t xml:space="preserve">     Miscellaneous</t>
  </si>
  <si>
    <t>Annual percent changes   2/</t>
  </si>
  <si>
    <t>Source:  Department of Statistics and National Reserve Bank of Tonga</t>
  </si>
  <si>
    <t>File: B91Q1S22</t>
  </si>
  <si>
    <t>Table D6b:  UNDERLYING CONSUMER PRICE INDEX  1/</t>
  </si>
  <si>
    <t xml:space="preserve">  Domestic component</t>
  </si>
  <si>
    <t>Source:  National Reserve Bank of Tonga</t>
  </si>
  <si>
    <t>S24</t>
  </si>
  <si>
    <t>1996/97</t>
  </si>
  <si>
    <t xml:space="preserve">    Food</t>
  </si>
  <si>
    <t xml:space="preserve">    Housing</t>
  </si>
  <si>
    <t xml:space="preserve">    Household goods</t>
  </si>
  <si>
    <t xml:space="preserve">    Clothing and footwear</t>
  </si>
  <si>
    <t xml:space="preserve">    Transportation</t>
  </si>
  <si>
    <t xml:space="preserve">    Tobacco and alcohol</t>
  </si>
  <si>
    <t xml:space="preserve">    Miscellaneous</t>
  </si>
  <si>
    <t>Percentage Change 2/</t>
  </si>
  <si>
    <t>Table D5:  CONSUMER PRICE INDEX  1/</t>
  </si>
  <si>
    <t>1997/98</t>
  </si>
  <si>
    <t>1998/99</t>
  </si>
  <si>
    <t>At the end of:</t>
  </si>
  <si>
    <t xml:space="preserve">   Percentage change over 3 months earlier</t>
  </si>
  <si>
    <t xml:space="preserve">   Percentage change over a year earlier</t>
  </si>
  <si>
    <t xml:space="preserve">  Food</t>
  </si>
  <si>
    <t xml:space="preserve">  Housing</t>
  </si>
  <si>
    <t xml:space="preserve">  Household goods</t>
  </si>
  <si>
    <t xml:space="preserve">  Clothing and footwear</t>
  </si>
  <si>
    <t xml:space="preserve">  Transportation</t>
  </si>
  <si>
    <t xml:space="preserve">  Tobacco and alcohol</t>
  </si>
  <si>
    <t xml:space="preserve">  Miscellaneous</t>
  </si>
  <si>
    <t>1999/00</t>
  </si>
  <si>
    <t>Table D2:  AGRICULTURAL PRODUCTS MARKETED IN TONGA: VALUES (kg) ('000) 1/</t>
  </si>
  <si>
    <t>crops 1/</t>
  </si>
  <si>
    <t>Sepesi:</t>
  </si>
  <si>
    <t>It use to be express in INDEX FORM.</t>
  </si>
  <si>
    <t>Now they are express in money terms and real quantity</t>
  </si>
  <si>
    <t>As you notice in these worksheet, they are labelled with R, meaning that it has been revised.</t>
  </si>
  <si>
    <t>(Seniti/Litre)</t>
  </si>
  <si>
    <t>('000)</t>
  </si>
  <si>
    <t>(Kwh)</t>
  </si>
  <si>
    <t>(Seniti/Kwh)</t>
  </si>
  <si>
    <t>Local component</t>
  </si>
  <si>
    <t>Imported component</t>
  </si>
  <si>
    <t>Table D2, D3 and D4 has been revised.</t>
  </si>
  <si>
    <t>The format of Table D5 has also changed. I have moved the Local and Imported component to the bottom leaving the all item on top with its break down.</t>
  </si>
  <si>
    <t>2000/01</t>
  </si>
  <si>
    <t>2001/02</t>
  </si>
  <si>
    <t>Table D2:  AGRICULTURAL PRODUCTS MARKETED IN TONGA: VALUES  ('000) 1/</t>
  </si>
  <si>
    <t>Table D3:  AGRICULTURAL PRODUCTS MARKETED IN TONGA: VOLUMES  (tonnes)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</si>
  <si>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</si>
  <si>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</si>
  <si>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</si>
  <si>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</si>
  <si>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</si>
  <si>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</si>
  <si>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</si>
  <si>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</si>
  <si>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</si>
  <si>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</si>
  <si>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(Thousands of Pa'anga per tonne)</t>
  </si>
  <si>
    <t>2012/13</t>
  </si>
  <si>
    <t>2013/14</t>
  </si>
  <si>
    <t xml:space="preserve">  Household operation</t>
  </si>
  <si>
    <t>2014/15</t>
  </si>
  <si>
    <t xml:space="preserve"> Percentage change over 3 months earlier</t>
  </si>
  <si>
    <t>2015/16</t>
  </si>
  <si>
    <t xml:space="preserve">Table D2:  AGRICULTURAL PRODUCTS MARKETED IN TONGA: VALUES  </t>
  </si>
  <si>
    <t>(Thousands of pa'anga) 1/</t>
  </si>
  <si>
    <r>
      <rPr>
        <b/>
        <sz val="8.8000000000000007"/>
        <rFont val="Arial Narrow"/>
        <family val="2"/>
      </rPr>
      <t>Source:</t>
    </r>
    <r>
      <rPr>
        <sz val="8"/>
        <rFont val="Arial Narrow"/>
        <family val="2"/>
      </rPr>
      <t xml:space="preserve"> Statistics Department </t>
    </r>
  </si>
  <si>
    <r>
      <rPr>
        <b/>
        <sz val="8.8000000000000007"/>
        <rFont val="Arial Narrow"/>
        <family val="2"/>
      </rPr>
      <t>Source:</t>
    </r>
    <r>
      <rPr>
        <sz val="8"/>
        <rFont val="Arial Narrow"/>
        <family val="2"/>
      </rPr>
      <t xml:space="preserve"> Ministry of Agriculture Food and Forests</t>
    </r>
  </si>
  <si>
    <t>2016/17</t>
  </si>
  <si>
    <t>2017/18</t>
  </si>
  <si>
    <t>Q3  /2</t>
  </si>
  <si>
    <t xml:space="preserve">   Food and non-alcoholic beverages</t>
  </si>
  <si>
    <t xml:space="preserve">  Alcoholic beverages, tobacco and kava</t>
  </si>
  <si>
    <t xml:space="preserve">  Housing, water, electricity, gas and other fuels</t>
  </si>
  <si>
    <t xml:space="preserve">  Furnishings, household equipment and routine household maintenance</t>
  </si>
  <si>
    <t xml:space="preserve">  Health</t>
  </si>
  <si>
    <t xml:space="preserve">  Transport</t>
  </si>
  <si>
    <t xml:space="preserve">  Communication</t>
  </si>
  <si>
    <t xml:space="preserve">  Recreation and culture</t>
  </si>
  <si>
    <t xml:space="preserve">  Education</t>
  </si>
  <si>
    <t xml:space="preserve">  Restaurants and hotels</t>
  </si>
  <si>
    <t xml:space="preserve">  Miscellaneous goods and services</t>
  </si>
  <si>
    <t>2018/19</t>
  </si>
  <si>
    <t>2019/20</t>
  </si>
  <si>
    <t>2020/21</t>
  </si>
  <si>
    <t>2021/22</t>
  </si>
  <si>
    <t xml:space="preserve">motor vehicles </t>
  </si>
  <si>
    <t xml:space="preserve">(Number) </t>
  </si>
  <si>
    <t>v-check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</si>
  <si>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Ministry of Agriculture, Food and Forests</t>
    </r>
  </si>
  <si>
    <t>crops   1/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</si>
  <si>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Ministry of Agriculture &amp; Forestry and Food.</t>
    </r>
  </si>
  <si>
    <t>2017Q3</t>
  </si>
  <si>
    <t>2017Q4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</si>
  <si>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</si>
  <si>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</si>
  <si>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</si>
  <si>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</si>
  <si>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</si>
  <si>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</si>
  <si>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</si>
  <si>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</si>
  <si>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2017Q2</t>
  </si>
  <si>
    <t>2018Q1</t>
  </si>
  <si>
    <t>2018Q2</t>
  </si>
  <si>
    <t>2018Q3</t>
  </si>
  <si>
    <t>2018Q4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</si>
  <si>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</si>
  <si>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</si>
  <si>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</si>
  <si>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</si>
  <si>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</si>
  <si>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</si>
  <si>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</si>
  <si>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</si>
  <si>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…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</si>
  <si>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</si>
  <si>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</si>
  <si>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</si>
  <si>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</si>
  <si>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</si>
  <si>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</si>
  <si>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</si>
  <si>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</si>
  <si>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</si>
  <si>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</si>
  <si>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</si>
  <si>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</si>
  <si>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</si>
  <si>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</si>
  <si>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</si>
  <si>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</si>
  <si>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</si>
  <si>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</si>
  <si>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</si>
  <si>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</si>
  <si>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</si>
  <si>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</si>
  <si>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</si>
  <si>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</si>
  <si>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</si>
  <si>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</si>
  <si>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</si>
  <si>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</si>
  <si>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</si>
  <si>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</si>
  <si>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</si>
  <si>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</si>
  <si>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</si>
  <si>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</si>
  <si>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</si>
  <si>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</si>
  <si>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</si>
  <si>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</si>
  <si>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</si>
  <si>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</si>
  <si>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</si>
  <si>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</si>
  <si>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</si>
  <si>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</si>
  <si>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</si>
  <si>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</si>
  <si>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</si>
  <si>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</si>
  <si>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</si>
  <si>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</si>
  <si>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</si>
  <si>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</si>
  <si>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</si>
  <si>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</si>
  <si>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</si>
  <si>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</si>
  <si>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</si>
  <si>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</si>
  <si>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</si>
  <si>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</si>
  <si>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</si>
  <si>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r>
      <rPr>
        <b/>
        <sz val="10"/>
        <rFont val="Arial Narrow"/>
        <family val="2"/>
      </rPr>
      <t>Source:</t>
    </r>
    <r>
      <rPr>
        <sz val="10"/>
        <rFont val="Arial Narrow"/>
        <family val="2"/>
      </rPr>
      <t xml:space="preserve"> Tonga Department of Statistics</t>
    </r>
  </si>
  <si>
    <t>2023Q1</t>
  </si>
  <si>
    <t>2023Q2</t>
  </si>
  <si>
    <t>2022/23</t>
  </si>
  <si>
    <t>See Notes to Statistical Tables on Guide to Quarterly Bulletin</t>
  </si>
  <si>
    <t>2023Q3</t>
  </si>
  <si>
    <t>Agricultural</t>
  </si>
  <si>
    <t>Exports</t>
  </si>
  <si>
    <t>(Tonnes)</t>
  </si>
  <si>
    <t>Marine</t>
  </si>
  <si>
    <t>(Metric Tons)</t>
  </si>
  <si>
    <t>Container</t>
  </si>
  <si>
    <t>registrations</t>
  </si>
  <si>
    <t>(Number)</t>
  </si>
  <si>
    <t>S14</t>
  </si>
  <si>
    <t>S15</t>
  </si>
  <si>
    <t>S16</t>
  </si>
  <si>
    <t>S17</t>
  </si>
  <si>
    <t>S18</t>
  </si>
  <si>
    <t>2023Q4</t>
  </si>
  <si>
    <r>
      <rPr>
        <b/>
        <sz val="8.8000000000000007"/>
        <rFont val="Arial Narrow"/>
        <family val="2"/>
      </rPr>
      <t>Source</t>
    </r>
    <r>
      <rPr>
        <sz val="8"/>
        <rFont val="Arial Narrow"/>
        <family val="2"/>
      </rPr>
      <t>: Ministry of Trade and Economic Development; Tonga Power Limited; Ministry of Agriculture, Food, and Forests; Ministry of Fisheries; Ports Authority Tonga; Ministry of Infrastructure</t>
    </r>
  </si>
  <si>
    <t>2024Q1</t>
  </si>
  <si>
    <t>2024Q2</t>
  </si>
  <si>
    <t xml:space="preserve">2024Q2 </t>
  </si>
  <si>
    <t>2024Q3</t>
  </si>
  <si>
    <t>2001Q1</t>
  </si>
  <si>
    <t>2001Q2</t>
  </si>
  <si>
    <t>2001Q3</t>
  </si>
  <si>
    <t>2001Q4</t>
  </si>
  <si>
    <t>2023/24</t>
  </si>
  <si>
    <t>Table D5: CONSUMER PRICE INDEX 1/</t>
  </si>
  <si>
    <t>2024Q4</t>
  </si>
  <si>
    <t>2000Q4</t>
  </si>
  <si>
    <t>2025Q1</t>
  </si>
  <si>
    <t>Percentage change over a year earlier</t>
  </si>
  <si>
    <t>Percentage change over 3 months earlier</t>
  </si>
  <si>
    <t>2000Q3</t>
  </si>
  <si>
    <t>*Added a new row 2000Q3</t>
  </si>
  <si>
    <t>Added a new row 2000Q3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</si>
</sst>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dd\-mmm\-yy_)"/>
    <numFmt numFmtId="169" formatCode="0.00_m"/>
    <numFmt numFmtId="170" formatCode="0.00_m_m"/>
    <numFmt numFmtId="171" formatCode="0_m"/>
    <numFmt numFmtId="172" formatCode="0.00_m_M"/>
    <numFmt numFmtId="173" formatCode="#,##0.0_);\(#,##0.0\)"/>
    <numFmt numFmtId="174" formatCode="0.0"/>
    <numFmt numFmtId="175" formatCode="0.0_m"/>
    <numFmt numFmtId="176" formatCode="0.00_m_m_m_m"/>
    <numFmt numFmtId="177" formatCode="#,##0.00_m_m"/>
    <numFmt numFmtId="178" formatCode="yyyy/yy"/>
    <numFmt numFmtId="179" formatCode="#,##0.0_m_m"/>
    <numFmt numFmtId="180" formatCode="0.0000_m"/>
    <numFmt numFmtId="181" formatCode="#,##0.0;\-#,##0.0"/>
    <numFmt numFmtId="182" formatCode="#,##0.0"/>
    <numFmt numFmtId="183" formatCode="yyyy"/>
    <numFmt numFmtId="184" formatCode="_(* #,##0_);_(* \(#,##0\);_(* &quot;-&quot;??_);_(@_)"/>
    <numFmt numFmtId="185" formatCode="#,##0.000;\-#,##0.000"/>
    <numFmt numFmtId="186" formatCode="0.0000"/>
  </numFmts>
  <fonts count="30" x14ac:knownFonts="1">
    <font>
      <sz val="8"/>
      <name val="Arial Narrow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81"/>
      <name val="Tahoma"/>
      <family val="2"/>
    </font>
    <font>
      <b/>
      <sz val="9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.8000000000000007"/>
      <name val="Arial Narrow"/>
      <family val="2"/>
    </font>
    <font>
      <sz val="8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u/>
      <sz val="8"/>
      <color indexed="81"/>
      <name val="Tahoma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sz val="12"/>
      <color rgb="FFFF0000"/>
      <name val="Arial Narrow"/>
      <family val="2"/>
    </font>
    <font>
      <sz val="12"/>
      <color rgb="FF00B050"/>
      <name val="Arial Narrow"/>
      <family val="2"/>
    </font>
    <font>
      <i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39" fontId="2" fillId="0" borderId="0"/>
    <xf numFmtId="39" fontId="2" fillId="0" borderId="0"/>
    <xf numFmtId="39" fontId="2" fillId="0" borderId="0"/>
    <xf numFmtId="165" fontId="2" fillId="0" borderId="0"/>
    <xf numFmtId="0" fontId="5" fillId="0" borderId="0"/>
    <xf numFmtId="165" fontId="2" fillId="0" borderId="0"/>
    <xf numFmtId="39" fontId="2" fillId="0" borderId="0"/>
    <xf numFmtId="0" fontId="2" fillId="0" borderId="0" applyNumberFormat="0" applyFont="0" applyBorder="0" applyAlignment="0"/>
    <xf numFmtId="39" fontId="2" fillId="0" borderId="0"/>
    <xf numFmtId="165" fontId="2" fillId="0" borderId="0"/>
  </cellStyleXfs>
  <cellXfs count="868">
    <xf numFmtId="0" fontId="0" fillId="0" borderId="0" xfId="0"/>
    <xf numFmtId="165" fontId="2" fillId="0" borderId="0" xfId="7"/>
    <xf numFmtId="165" fontId="1" fillId="0" borderId="1" xfId="7" applyFont="1" applyBorder="1" applyAlignment="1" applyProtection="1">
      <alignment horizontal="left"/>
    </xf>
    <xf numFmtId="165" fontId="1" fillId="0" borderId="2" xfId="7" applyFont="1" applyBorder="1" applyAlignment="1" applyProtection="1">
      <alignment horizontal="center"/>
    </xf>
    <xf numFmtId="165" fontId="1" fillId="0" borderId="3" xfId="7" applyFont="1" applyBorder="1" applyAlignment="1" applyProtection="1">
      <alignment horizontal="centerContinuous"/>
    </xf>
    <xf numFmtId="165" fontId="1" fillId="0" borderId="4" xfId="7" applyFont="1" applyBorder="1" applyAlignment="1" applyProtection="1">
      <alignment horizontal="center"/>
    </xf>
    <xf numFmtId="165" fontId="1" fillId="0" borderId="3" xfId="7" applyFont="1" applyBorder="1" applyAlignment="1">
      <alignment horizontal="centerContinuous"/>
    </xf>
    <xf numFmtId="165" fontId="1" fillId="0" borderId="5" xfId="7" applyFont="1" applyBorder="1" applyAlignment="1">
      <alignment horizontal="centerContinuous" vertical="top"/>
    </xf>
    <xf numFmtId="165" fontId="1" fillId="0" borderId="6" xfId="7" applyFont="1" applyBorder="1" applyAlignment="1" applyProtection="1">
      <alignment horizontal="center" vertical="top"/>
    </xf>
    <xf numFmtId="165" fontId="1" fillId="0" borderId="7" xfId="7" applyFont="1" applyBorder="1" applyAlignment="1" applyProtection="1">
      <alignment horizontal="center" vertical="top"/>
    </xf>
    <xf numFmtId="165" fontId="2" fillId="0" borderId="0" xfId="7" applyAlignment="1" applyProtection="1">
      <alignment horizontal="left"/>
    </xf>
    <xf numFmtId="165" fontId="2" fillId="0" borderId="0" xfId="7" applyAlignment="1">
      <alignment horizontal="right"/>
    </xf>
    <xf numFmtId="39" fontId="2" fillId="0" borderId="0" xfId="3"/>
    <xf numFmtId="39" fontId="4" fillId="0" borderId="0" xfId="3" applyFont="1" applyAlignment="1" applyProtection="1">
      <alignment horizontal="centerContinuous"/>
    </xf>
    <xf numFmtId="39" fontId="4" fillId="0" borderId="0" xfId="3" applyFont="1" applyAlignment="1">
      <alignment horizontal="centerContinuous"/>
    </xf>
    <xf numFmtId="39" fontId="3" fillId="0" borderId="0" xfId="3" applyFont="1" applyAlignment="1" applyProtection="1">
      <alignment horizontal="centerContinuous" vertical="top"/>
    </xf>
    <xf numFmtId="39" fontId="3" fillId="0" borderId="0" xfId="3" applyFont="1" applyAlignment="1">
      <alignment horizontal="centerContinuous" vertical="top"/>
    </xf>
    <xf numFmtId="39" fontId="1" fillId="0" borderId="1" xfId="3" applyFont="1" applyBorder="1" applyAlignment="1" applyProtection="1">
      <alignment horizontal="centerContinuous"/>
    </xf>
    <xf numFmtId="39" fontId="1" fillId="0" borderId="2" xfId="3" applyFont="1" applyBorder="1" applyAlignment="1" applyProtection="1">
      <alignment horizontal="centerContinuous"/>
    </xf>
    <xf numFmtId="39" fontId="1" fillId="0" borderId="2" xfId="3" applyFont="1" applyBorder="1" applyAlignment="1" applyProtection="1">
      <alignment horizontal="center"/>
    </xf>
    <xf numFmtId="39" fontId="1" fillId="0" borderId="8" xfId="3" applyFont="1" applyBorder="1" applyAlignment="1" applyProtection="1">
      <alignment horizontal="center"/>
    </xf>
    <xf numFmtId="39" fontId="2" fillId="0" borderId="5" xfId="3" applyBorder="1" applyAlignment="1">
      <alignment horizontal="centerContinuous"/>
    </xf>
    <xf numFmtId="39" fontId="2" fillId="0" borderId="6" xfId="3" applyBorder="1" applyAlignment="1">
      <alignment horizontal="centerContinuous"/>
    </xf>
    <xf numFmtId="39" fontId="1" fillId="0" borderId="6" xfId="3" applyFont="1" applyBorder="1" applyAlignment="1">
      <alignment vertical="top"/>
    </xf>
    <xf numFmtId="39" fontId="1" fillId="0" borderId="6" xfId="3" applyFont="1" applyBorder="1" applyAlignment="1" applyProtection="1">
      <alignment horizontal="center" vertical="top"/>
    </xf>
    <xf numFmtId="39" fontId="1" fillId="0" borderId="7" xfId="3" applyFont="1" applyBorder="1" applyAlignment="1">
      <alignment vertical="top"/>
    </xf>
    <xf numFmtId="39" fontId="1" fillId="0" borderId="3" xfId="3" applyFont="1" applyBorder="1" applyAlignment="1" applyProtection="1">
      <alignment horizontal="centerContinuous"/>
    </xf>
    <xf numFmtId="39" fontId="2" fillId="0" borderId="0" xfId="3" applyBorder="1" applyAlignment="1" applyProtection="1">
      <alignment horizontal="centerContinuous"/>
    </xf>
    <xf numFmtId="169" fontId="2" fillId="0" borderId="0" xfId="3" applyNumberFormat="1" applyProtection="1"/>
    <xf numFmtId="169" fontId="1" fillId="0" borderId="3" xfId="3" applyNumberFormat="1" applyFont="1" applyBorder="1" applyAlignment="1" applyProtection="1">
      <alignment horizontal="centerContinuous"/>
    </xf>
    <xf numFmtId="169" fontId="1" fillId="0" borderId="0" xfId="3" applyNumberFormat="1" applyFont="1" applyBorder="1" applyAlignment="1" applyProtection="1">
      <alignment horizontal="centerContinuous"/>
    </xf>
    <xf numFmtId="169" fontId="2" fillId="0" borderId="0" xfId="3" applyNumberFormat="1" applyBorder="1" applyProtection="1"/>
    <xf numFmtId="169" fontId="2" fillId="0" borderId="0" xfId="3" applyNumberFormat="1" applyAlignment="1" applyProtection="1"/>
    <xf numFmtId="39" fontId="2" fillId="0" borderId="0" xfId="3" applyAlignment="1"/>
    <xf numFmtId="169" fontId="2" fillId="0" borderId="0" xfId="3" applyNumberFormat="1" applyAlignment="1" applyProtection="1">
      <alignment horizontal="right"/>
    </xf>
    <xf numFmtId="39" fontId="1" fillId="0" borderId="0" xfId="3" applyFont="1" applyBorder="1" applyAlignment="1" applyProtection="1">
      <alignment horizontal="centerContinuous"/>
    </xf>
    <xf numFmtId="39" fontId="1" fillId="0" borderId="3" xfId="3" applyFont="1" applyBorder="1" applyAlignment="1" applyProtection="1">
      <alignment horizontal="centerContinuous" vertical="top"/>
    </xf>
    <xf numFmtId="39" fontId="1" fillId="0" borderId="0" xfId="3" applyFont="1" applyBorder="1" applyAlignment="1" applyProtection="1">
      <alignment horizontal="centerContinuous" vertical="top"/>
    </xf>
    <xf numFmtId="169" fontId="2" fillId="0" borderId="0" xfId="3" applyNumberFormat="1" applyAlignment="1" applyProtection="1">
      <alignment horizontal="right" vertical="top"/>
    </xf>
    <xf numFmtId="166" fontId="2" fillId="0" borderId="0" xfId="3" applyNumberFormat="1" applyProtection="1"/>
    <xf numFmtId="1" fontId="1" fillId="0" borderId="3" xfId="3" applyNumberFormat="1" applyFont="1" applyBorder="1" applyAlignment="1" applyProtection="1">
      <alignment horizontal="right"/>
    </xf>
    <xf numFmtId="169" fontId="2" fillId="0" borderId="3" xfId="3" applyNumberFormat="1" applyBorder="1" applyAlignment="1" applyProtection="1">
      <alignment horizontal="centerContinuous"/>
    </xf>
    <xf numFmtId="39" fontId="2" fillId="0" borderId="0" xfId="3" applyBorder="1"/>
    <xf numFmtId="166" fontId="2" fillId="0" borderId="0" xfId="3" applyNumberFormat="1" applyBorder="1" applyProtection="1"/>
    <xf numFmtId="169" fontId="2" fillId="0" borderId="0" xfId="3" applyNumberFormat="1" applyBorder="1" applyAlignment="1" applyProtection="1">
      <alignment horizontal="centerContinuous"/>
    </xf>
    <xf numFmtId="39" fontId="2" fillId="0" borderId="3" xfId="3" applyBorder="1" applyAlignment="1" applyProtection="1">
      <alignment horizontal="centerContinuous"/>
    </xf>
    <xf numFmtId="39" fontId="2" fillId="0" borderId="3" xfId="3" applyBorder="1" applyAlignment="1" applyProtection="1">
      <alignment horizontal="centerContinuous" vertical="top"/>
    </xf>
    <xf numFmtId="1" fontId="1" fillId="0" borderId="3" xfId="3" applyNumberFormat="1" applyFont="1" applyBorder="1" applyAlignment="1" applyProtection="1">
      <alignment horizontal="centerContinuous"/>
    </xf>
    <xf numFmtId="39" fontId="2" fillId="0" borderId="0" xfId="3" applyAlignment="1" applyProtection="1">
      <alignment horizontal="left"/>
    </xf>
    <xf numFmtId="39" fontId="2" fillId="0" borderId="0" xfId="4"/>
    <xf numFmtId="39" fontId="3" fillId="0" borderId="0" xfId="4" applyFont="1" applyAlignment="1" applyProtection="1">
      <alignment horizontal="left" vertical="center"/>
    </xf>
    <xf numFmtId="39" fontId="4" fillId="0" borderId="0" xfId="4" applyFont="1" applyAlignment="1" applyProtection="1">
      <alignment horizontal="centerContinuous"/>
    </xf>
    <xf numFmtId="39" fontId="4" fillId="0" borderId="0" xfId="4" applyFont="1" applyAlignment="1">
      <alignment horizontal="centerContinuous"/>
    </xf>
    <xf numFmtId="39" fontId="3" fillId="0" borderId="0" xfId="4" applyFont="1" applyAlignment="1" applyProtection="1">
      <alignment horizontal="centerContinuous" vertical="top"/>
    </xf>
    <xf numFmtId="39" fontId="3" fillId="0" borderId="0" xfId="4" applyFont="1" applyAlignment="1">
      <alignment horizontal="centerContinuous" vertical="top"/>
    </xf>
    <xf numFmtId="39" fontId="1" fillId="0" borderId="1" xfId="4" applyFont="1" applyBorder="1" applyAlignment="1" applyProtection="1">
      <alignment horizontal="centerContinuous"/>
    </xf>
    <xf numFmtId="39" fontId="1" fillId="0" borderId="2" xfId="4" applyFont="1" applyBorder="1" applyAlignment="1" applyProtection="1">
      <alignment horizontal="centerContinuous" vertical="top"/>
    </xf>
    <xf numFmtId="39" fontId="1" fillId="0" borderId="2" xfId="4" applyFont="1" applyBorder="1" applyAlignment="1" applyProtection="1">
      <alignment horizontal="center"/>
    </xf>
    <xf numFmtId="39" fontId="1" fillId="0" borderId="8" xfId="4" applyFont="1" applyBorder="1" applyAlignment="1" applyProtection="1">
      <alignment horizontal="center"/>
    </xf>
    <xf numFmtId="39" fontId="2" fillId="0" borderId="2" xfId="4" applyBorder="1" applyAlignment="1" applyProtection="1">
      <alignment horizontal="centerContinuous"/>
    </xf>
    <xf numFmtId="169" fontId="2" fillId="0" borderId="2" xfId="4" applyNumberFormat="1" applyBorder="1" applyProtection="1"/>
    <xf numFmtId="39" fontId="1" fillId="0" borderId="3" xfId="4" applyFont="1" applyBorder="1" applyAlignment="1" applyProtection="1">
      <alignment horizontal="centerContinuous"/>
    </xf>
    <xf numFmtId="39" fontId="1" fillId="0" borderId="0" xfId="4" applyFont="1" applyBorder="1" applyAlignment="1" applyProtection="1">
      <alignment horizontal="centerContinuous"/>
    </xf>
    <xf numFmtId="169" fontId="2" fillId="0" borderId="0" xfId="4" applyNumberFormat="1" applyAlignment="1" applyProtection="1">
      <alignment horizontal="right"/>
    </xf>
    <xf numFmtId="172" fontId="2" fillId="0" borderId="4" xfId="4" applyNumberFormat="1" applyBorder="1" applyAlignment="1" applyProtection="1">
      <alignment horizontal="right"/>
    </xf>
    <xf numFmtId="39" fontId="1" fillId="0" borderId="3" xfId="4" quotePrefix="1" applyFont="1" applyBorder="1" applyAlignment="1" applyProtection="1">
      <alignment horizontal="centerContinuous"/>
    </xf>
    <xf numFmtId="39" fontId="1" fillId="0" borderId="0" xfId="4" quotePrefix="1" applyFont="1" applyBorder="1" applyAlignment="1" applyProtection="1">
      <alignment horizontal="centerContinuous"/>
    </xf>
    <xf numFmtId="39" fontId="2" fillId="0" borderId="0" xfId="4" applyBorder="1" applyAlignment="1" applyProtection="1">
      <alignment horizontal="centerContinuous"/>
    </xf>
    <xf numFmtId="166" fontId="2" fillId="0" borderId="0" xfId="4" applyNumberFormat="1" applyProtection="1"/>
    <xf numFmtId="39" fontId="2" fillId="0" borderId="3" xfId="4" applyBorder="1" applyAlignment="1" applyProtection="1">
      <alignment horizontal="centerContinuous"/>
    </xf>
    <xf numFmtId="39" fontId="2" fillId="0" borderId="0" xfId="4" applyBorder="1" applyAlignment="1" applyProtection="1">
      <alignment horizontal="centerContinuous" vertical="top"/>
    </xf>
    <xf numFmtId="39" fontId="2" fillId="0" borderId="3" xfId="4" applyBorder="1" applyAlignment="1" applyProtection="1">
      <alignment horizontal="centerContinuous" vertical="top"/>
    </xf>
    <xf numFmtId="1" fontId="1" fillId="0" borderId="3" xfId="4" applyNumberFormat="1" applyFont="1" applyBorder="1" applyAlignment="1" applyProtection="1">
      <alignment horizontal="centerContinuous"/>
    </xf>
    <xf numFmtId="39" fontId="2" fillId="0" borderId="2" xfId="4" applyBorder="1"/>
    <xf numFmtId="39" fontId="2" fillId="0" borderId="2" xfId="4" applyBorder="1" applyAlignment="1" applyProtection="1">
      <alignment horizontal="left"/>
    </xf>
    <xf numFmtId="39" fontId="2" fillId="0" borderId="0" xfId="4" applyBorder="1"/>
    <xf numFmtId="39" fontId="2" fillId="0" borderId="0" xfId="4" applyAlignment="1" applyProtection="1">
      <alignment horizontal="left"/>
    </xf>
    <xf numFmtId="39" fontId="2" fillId="0" borderId="0" xfId="4" quotePrefix="1" applyAlignment="1" applyProtection="1">
      <alignment horizontal="left"/>
    </xf>
    <xf numFmtId="168" fontId="2" fillId="0" borderId="0" xfId="4" applyNumberFormat="1" applyProtection="1"/>
    <xf numFmtId="39" fontId="2" fillId="0" borderId="0" xfId="4" applyAlignment="1" applyProtection="1">
      <alignment horizontal="fill"/>
    </xf>
    <xf numFmtId="39" fontId="2" fillId="0" borderId="0" xfId="2"/>
    <xf numFmtId="39" fontId="4" fillId="0" borderId="0" xfId="2" applyFont="1" applyAlignment="1">
      <alignment horizontal="centerContinuous"/>
    </xf>
    <xf numFmtId="39" fontId="3" fillId="0" borderId="0" xfId="2" applyFont="1" applyAlignment="1" applyProtection="1">
      <alignment horizontal="centerContinuous" vertical="top"/>
    </xf>
    <xf numFmtId="39" fontId="3" fillId="0" borderId="0" xfId="2" applyFont="1" applyAlignment="1">
      <alignment horizontal="centerContinuous" vertical="top"/>
    </xf>
    <xf numFmtId="169" fontId="1" fillId="0" borderId="1" xfId="2" applyNumberFormat="1" applyFont="1" applyBorder="1" applyAlignment="1" applyProtection="1">
      <alignment horizontal="centerContinuous"/>
    </xf>
    <xf numFmtId="169" fontId="1" fillId="0" borderId="2" xfId="2" applyNumberFormat="1" applyFont="1" applyBorder="1" applyAlignment="1" applyProtection="1">
      <alignment horizontal="centerContinuous" vertical="top"/>
    </xf>
    <xf numFmtId="169" fontId="1" fillId="0" borderId="2" xfId="2" applyNumberFormat="1" applyFont="1" applyBorder="1" applyAlignment="1" applyProtection="1">
      <alignment horizontal="center"/>
    </xf>
    <xf numFmtId="169" fontId="1" fillId="0" borderId="8" xfId="2" applyNumberFormat="1" applyFont="1" applyBorder="1" applyAlignment="1" applyProtection="1">
      <alignment horizontal="center"/>
    </xf>
    <xf numFmtId="169" fontId="1" fillId="0" borderId="3" xfId="2" applyNumberFormat="1" applyFont="1" applyBorder="1" applyAlignment="1" applyProtection="1">
      <alignment horizontal="centerContinuous"/>
    </xf>
    <xf numFmtId="169" fontId="2" fillId="0" borderId="0" xfId="2" applyNumberFormat="1" applyBorder="1" applyAlignment="1" applyProtection="1">
      <alignment horizontal="centerContinuous"/>
    </xf>
    <xf numFmtId="169" fontId="1" fillId="0" borderId="0" xfId="2" applyNumberFormat="1" applyFont="1" applyBorder="1" applyAlignment="1" applyProtection="1">
      <alignment horizontal="centerContinuous"/>
    </xf>
    <xf numFmtId="39" fontId="2" fillId="0" borderId="0" xfId="2" applyAlignment="1"/>
    <xf numFmtId="39" fontId="1" fillId="0" borderId="3" xfId="2" applyFont="1" applyBorder="1" applyAlignment="1" applyProtection="1">
      <alignment horizontal="centerContinuous"/>
    </xf>
    <xf numFmtId="39" fontId="1" fillId="0" borderId="0" xfId="2" applyFont="1" applyBorder="1" applyAlignment="1" applyProtection="1">
      <alignment horizontal="centerContinuous"/>
    </xf>
    <xf numFmtId="39" fontId="2" fillId="0" borderId="0" xfId="2" applyBorder="1" applyAlignment="1"/>
    <xf numFmtId="39" fontId="2" fillId="0" borderId="0" xfId="2" applyBorder="1" applyAlignment="1" applyProtection="1">
      <alignment horizontal="centerContinuous"/>
    </xf>
    <xf numFmtId="166" fontId="2" fillId="0" borderId="0" xfId="2" applyNumberFormat="1" applyProtection="1"/>
    <xf numFmtId="39" fontId="2" fillId="0" borderId="3" xfId="2" applyBorder="1" applyAlignment="1" applyProtection="1">
      <alignment horizontal="centerContinuous"/>
    </xf>
    <xf numFmtId="39" fontId="2" fillId="0" borderId="0" xfId="2" applyBorder="1" applyAlignment="1">
      <alignment horizontal="centerContinuous"/>
    </xf>
    <xf numFmtId="39" fontId="2" fillId="0" borderId="0" xfId="2" applyBorder="1"/>
    <xf numFmtId="166" fontId="2" fillId="0" borderId="0" xfId="2" applyNumberFormat="1" applyBorder="1" applyProtection="1"/>
    <xf numFmtId="169" fontId="2" fillId="0" borderId="3" xfId="2" applyNumberFormat="1" applyBorder="1" applyAlignment="1" applyProtection="1">
      <alignment horizontal="centerContinuous"/>
    </xf>
    <xf numFmtId="39" fontId="1" fillId="0" borderId="3" xfId="2" applyNumberFormat="1" applyFont="1" applyBorder="1" applyAlignment="1" applyProtection="1">
      <alignment horizontal="centerContinuous"/>
    </xf>
    <xf numFmtId="39" fontId="2" fillId="0" borderId="3" xfId="2" applyBorder="1" applyAlignment="1" applyProtection="1">
      <alignment horizontal="centerContinuous" vertical="top"/>
    </xf>
    <xf numFmtId="39" fontId="2" fillId="0" borderId="0" xfId="2" applyBorder="1" applyAlignment="1" applyProtection="1">
      <alignment horizontal="centerContinuous" vertical="top"/>
    </xf>
    <xf numFmtId="1" fontId="1" fillId="0" borderId="3" xfId="2" applyNumberFormat="1" applyFont="1" applyBorder="1" applyAlignment="1" applyProtection="1">
      <alignment horizontal="centerContinuous"/>
    </xf>
    <xf numFmtId="39" fontId="2" fillId="0" borderId="0" xfId="2" applyAlignment="1" applyProtection="1">
      <alignment horizontal="left"/>
    </xf>
    <xf numFmtId="168" fontId="2" fillId="0" borderId="0" xfId="2" applyNumberFormat="1" applyProtection="1"/>
    <xf numFmtId="39" fontId="2" fillId="0" borderId="0" xfId="8"/>
    <xf numFmtId="39" fontId="4" fillId="0" borderId="0" xfId="8" applyFont="1" applyAlignment="1" applyProtection="1">
      <alignment horizontal="centerContinuous"/>
    </xf>
    <xf numFmtId="39" fontId="2" fillId="0" borderId="0" xfId="8" applyAlignment="1">
      <alignment horizontal="centerContinuous"/>
    </xf>
    <xf numFmtId="39" fontId="3" fillId="0" borderId="0" xfId="8" applyFont="1" applyAlignment="1" applyProtection="1">
      <alignment horizontal="centerContinuous" vertical="top"/>
    </xf>
    <xf numFmtId="39" fontId="2" fillId="0" borderId="0" xfId="8" applyAlignment="1">
      <alignment horizontal="centerContinuous" vertical="top"/>
    </xf>
    <xf numFmtId="39" fontId="1" fillId="0" borderId="1" xfId="8" applyFont="1" applyBorder="1"/>
    <xf numFmtId="39" fontId="1" fillId="0" borderId="2" xfId="8" applyFont="1" applyBorder="1" applyAlignment="1" applyProtection="1">
      <alignment horizontal="centerContinuous" vertical="center"/>
    </xf>
    <xf numFmtId="39" fontId="2" fillId="0" borderId="2" xfId="8" applyBorder="1" applyAlignment="1">
      <alignment horizontal="centerContinuous"/>
    </xf>
    <xf numFmtId="39" fontId="1" fillId="0" borderId="2" xfId="8" applyFont="1" applyBorder="1" applyAlignment="1">
      <alignment horizontal="centerContinuous" vertical="center"/>
    </xf>
    <xf numFmtId="39" fontId="1" fillId="0" borderId="8" xfId="8" applyFont="1" applyBorder="1" applyAlignment="1">
      <alignment horizontal="centerContinuous" vertical="center"/>
    </xf>
    <xf numFmtId="39" fontId="1" fillId="0" borderId="3" xfId="8" applyFont="1" applyBorder="1" applyAlignment="1" applyProtection="1">
      <alignment horizontal="center"/>
    </xf>
    <xf numFmtId="39" fontId="1" fillId="0" borderId="0" xfId="8" applyFont="1" applyBorder="1" applyAlignment="1" applyProtection="1">
      <alignment horizontal="centerContinuous" vertical="center"/>
    </xf>
    <xf numFmtId="39" fontId="2" fillId="0" borderId="0" xfId="8" applyBorder="1" applyAlignment="1">
      <alignment horizontal="centerContinuous"/>
    </xf>
    <xf numFmtId="39" fontId="1" fillId="0" borderId="0" xfId="8" applyFont="1" applyBorder="1" applyAlignment="1">
      <alignment horizontal="centerContinuous" vertical="center"/>
    </xf>
    <xf numFmtId="39" fontId="1" fillId="0" borderId="0" xfId="8" applyFont="1" applyBorder="1" applyAlignment="1" applyProtection="1">
      <alignment horizontal="left" vertical="center"/>
    </xf>
    <xf numFmtId="39" fontId="1" fillId="0" borderId="0" xfId="8" quotePrefix="1" applyFont="1" applyBorder="1" applyAlignment="1">
      <alignment horizontal="centerContinuous" vertical="center"/>
    </xf>
    <xf numFmtId="39" fontId="1" fillId="0" borderId="4" xfId="8" applyFont="1" applyBorder="1" applyAlignment="1">
      <alignment horizontal="centerContinuous" vertical="center"/>
    </xf>
    <xf numFmtId="39" fontId="2" fillId="0" borderId="3" xfId="8" applyBorder="1"/>
    <xf numFmtId="39" fontId="1" fillId="0" borderId="2" xfId="8" applyFont="1" applyBorder="1" applyAlignment="1" applyProtection="1">
      <alignment horizontal="center"/>
    </xf>
    <xf numFmtId="39" fontId="1" fillId="0" borderId="8" xfId="8" applyFont="1" applyBorder="1" applyAlignment="1" applyProtection="1">
      <alignment horizontal="center"/>
    </xf>
    <xf numFmtId="39" fontId="1" fillId="0" borderId="3" xfId="8" applyFont="1" applyBorder="1" applyAlignment="1">
      <alignment horizontal="center"/>
    </xf>
    <xf numFmtId="39" fontId="1" fillId="0" borderId="0" xfId="8" applyFont="1" applyAlignment="1" applyProtection="1">
      <alignment horizontal="center"/>
    </xf>
    <xf numFmtId="39" fontId="1" fillId="0" borderId="4" xfId="8" applyFont="1" applyBorder="1" applyAlignment="1" applyProtection="1">
      <alignment horizontal="center"/>
    </xf>
    <xf numFmtId="39" fontId="2" fillId="0" borderId="2" xfId="8" applyBorder="1"/>
    <xf numFmtId="39" fontId="2" fillId="0" borderId="0" xfId="8" applyAlignment="1" applyProtection="1">
      <alignment horizontal="center"/>
    </xf>
    <xf numFmtId="37" fontId="2" fillId="0" borderId="0" xfId="8" applyNumberFormat="1" applyAlignment="1" applyProtection="1">
      <alignment horizontal="center"/>
    </xf>
    <xf numFmtId="37" fontId="2" fillId="0" borderId="4" xfId="8" applyNumberFormat="1" applyBorder="1" applyAlignment="1" applyProtection="1">
      <alignment horizontal="center"/>
    </xf>
    <xf numFmtId="166" fontId="2" fillId="0" borderId="0" xfId="8" applyNumberFormat="1" applyAlignment="1" applyProtection="1">
      <alignment horizontal="center"/>
    </xf>
    <xf numFmtId="1" fontId="1" fillId="0" borderId="0" xfId="8" applyNumberFormat="1" applyFont="1" applyAlignment="1">
      <alignment horizontal="center"/>
    </xf>
    <xf numFmtId="39" fontId="2" fillId="0" borderId="0" xfId="8" applyAlignment="1">
      <alignment horizontal="center"/>
    </xf>
    <xf numFmtId="39" fontId="2" fillId="0" borderId="3" xfId="8" applyBorder="1" applyAlignment="1" applyProtection="1">
      <alignment horizontal="center"/>
    </xf>
    <xf numFmtId="1" fontId="1" fillId="0" borderId="3" xfId="8" applyNumberFormat="1" applyFont="1" applyBorder="1" applyAlignment="1" applyProtection="1">
      <alignment horizontal="center"/>
    </xf>
    <xf numFmtId="14" fontId="1" fillId="0" borderId="3" xfId="8" applyNumberFormat="1" applyFont="1" applyBorder="1" applyAlignment="1" applyProtection="1">
      <alignment horizontal="center"/>
    </xf>
    <xf numFmtId="166" fontId="2" fillId="0" borderId="0" xfId="8" applyNumberFormat="1" applyBorder="1" applyProtection="1"/>
    <xf numFmtId="37" fontId="2" fillId="0" borderId="0" xfId="8" applyNumberFormat="1" applyBorder="1" applyProtection="1"/>
    <xf numFmtId="39" fontId="2" fillId="0" borderId="0" xfId="8" applyBorder="1"/>
    <xf numFmtId="37" fontId="2" fillId="0" borderId="4" xfId="8" applyNumberFormat="1" applyBorder="1" applyProtection="1"/>
    <xf numFmtId="166" fontId="2" fillId="0" borderId="0" xfId="8" applyNumberFormat="1" applyProtection="1"/>
    <xf numFmtId="37" fontId="2" fillId="0" borderId="0" xfId="8" applyNumberFormat="1" applyProtection="1"/>
    <xf numFmtId="39" fontId="2" fillId="0" borderId="0" xfId="8" applyNumberFormat="1" applyAlignment="1" applyProtection="1">
      <alignment horizontal="center"/>
    </xf>
    <xf numFmtId="39" fontId="2" fillId="0" borderId="4" xfId="8" applyBorder="1" applyAlignment="1">
      <alignment horizontal="center"/>
    </xf>
    <xf numFmtId="39" fontId="2" fillId="0" borderId="3" xfId="8" applyBorder="1" applyAlignment="1" applyProtection="1">
      <alignment horizontal="center" vertical="top"/>
    </xf>
    <xf numFmtId="166" fontId="2" fillId="0" borderId="0" xfId="8" applyNumberFormat="1" applyAlignment="1" applyProtection="1">
      <alignment horizontal="center" vertical="top"/>
    </xf>
    <xf numFmtId="37" fontId="2" fillId="0" borderId="0" xfId="8" applyNumberFormat="1" applyAlignment="1" applyProtection="1">
      <alignment horizontal="center" vertical="top"/>
    </xf>
    <xf numFmtId="39" fontId="2" fillId="0" borderId="0" xfId="8" applyNumberFormat="1" applyAlignment="1" applyProtection="1">
      <alignment horizontal="center" vertical="top"/>
    </xf>
    <xf numFmtId="37" fontId="2" fillId="0" borderId="4" xfId="8" applyNumberFormat="1" applyBorder="1" applyAlignment="1" applyProtection="1">
      <alignment horizontal="center" vertical="top"/>
    </xf>
    <xf numFmtId="39" fontId="2" fillId="0" borderId="0" xfId="8" applyAlignment="1">
      <alignment vertical="top"/>
    </xf>
    <xf numFmtId="39" fontId="2" fillId="0" borderId="0" xfId="8" applyAlignment="1" applyProtection="1">
      <alignment horizontal="left"/>
    </xf>
    <xf numFmtId="165" fontId="2" fillId="0" borderId="0" xfId="5"/>
    <xf numFmtId="165" fontId="2" fillId="0" borderId="0" xfId="5" applyBorder="1"/>
    <xf numFmtId="165" fontId="2" fillId="0" borderId="0" xfId="5" applyAlignment="1">
      <alignment horizontal="centerContinuous"/>
    </xf>
    <xf numFmtId="165" fontId="1" fillId="0" borderId="2" xfId="5" applyFont="1" applyBorder="1" applyAlignment="1">
      <alignment vertical="center"/>
    </xf>
    <xf numFmtId="165" fontId="1" fillId="0" borderId="2" xfId="5" applyFont="1" applyBorder="1" applyAlignment="1" applyProtection="1">
      <alignment horizontal="centerContinuous" vertical="center"/>
    </xf>
    <xf numFmtId="165" fontId="1" fillId="0" borderId="2" xfId="5" applyFont="1" applyBorder="1" applyAlignment="1">
      <alignment horizontal="centerContinuous" vertical="center"/>
    </xf>
    <xf numFmtId="165" fontId="1" fillId="0" borderId="9" xfId="5" applyFont="1" applyBorder="1" applyAlignment="1" applyProtection="1">
      <alignment horizontal="centerContinuous" vertical="center"/>
    </xf>
    <xf numFmtId="165" fontId="1" fillId="0" borderId="8" xfId="5" applyFont="1" applyBorder="1" applyAlignment="1">
      <alignment horizontal="centerContinuous" vertical="center"/>
    </xf>
    <xf numFmtId="165" fontId="1" fillId="0" borderId="0" xfId="5" applyFont="1" applyBorder="1" applyAlignment="1" applyProtection="1">
      <alignment horizontal="centerContinuous" vertical="top"/>
    </xf>
    <xf numFmtId="165" fontId="1" fillId="0" borderId="0" xfId="5" applyFont="1" applyAlignment="1" applyProtection="1">
      <alignment horizontal="centerContinuous" vertical="top"/>
    </xf>
    <xf numFmtId="165" fontId="1" fillId="0" borderId="0" xfId="5" applyFont="1" applyAlignment="1" applyProtection="1">
      <alignment horizontal="center" vertical="top"/>
    </xf>
    <xf numFmtId="165" fontId="1" fillId="0" borderId="6" xfId="5" applyFont="1" applyBorder="1" applyAlignment="1" applyProtection="1">
      <alignment horizontal="center" vertical="top"/>
    </xf>
    <xf numFmtId="165" fontId="1" fillId="0" borderId="0" xfId="5" quotePrefix="1" applyFont="1" applyAlignment="1" applyProtection="1">
      <alignment horizontal="center" vertical="top"/>
    </xf>
    <xf numFmtId="165" fontId="1" fillId="0" borderId="2" xfId="5" applyFont="1" applyBorder="1" applyAlignment="1" applyProtection="1">
      <alignment horizontal="center" vertical="center"/>
    </xf>
    <xf numFmtId="165" fontId="1" fillId="0" borderId="6" xfId="5" quotePrefix="1" applyFont="1" applyBorder="1" applyAlignment="1">
      <alignment horizontal="center" vertical="center"/>
    </xf>
    <xf numFmtId="165" fontId="1" fillId="0" borderId="9" xfId="5" quotePrefix="1" applyFont="1" applyBorder="1" applyAlignment="1">
      <alignment horizontal="center" vertical="center"/>
    </xf>
    <xf numFmtId="165" fontId="1" fillId="0" borderId="0" xfId="5" applyFont="1" applyBorder="1" applyAlignment="1" applyProtection="1">
      <alignment horizontal="center" vertical="center"/>
    </xf>
    <xf numFmtId="165" fontId="2" fillId="0" borderId="2" xfId="5" applyBorder="1" applyAlignment="1">
      <alignment horizontal="centerContinuous" vertical="center"/>
    </xf>
    <xf numFmtId="165" fontId="2" fillId="0" borderId="0" xfId="5" applyAlignment="1">
      <alignment horizontal="centerContinuous" vertical="center"/>
    </xf>
    <xf numFmtId="165" fontId="2" fillId="0" borderId="2" xfId="5" applyBorder="1" applyAlignment="1" applyProtection="1">
      <alignment horizontal="centerContinuous" vertical="center"/>
    </xf>
    <xf numFmtId="165" fontId="2" fillId="0" borderId="0" xfId="5" applyBorder="1" applyAlignment="1">
      <alignment horizontal="centerContinuous" vertical="center"/>
    </xf>
    <xf numFmtId="165" fontId="2" fillId="0" borderId="0" xfId="5" applyAlignment="1">
      <alignment vertical="center"/>
    </xf>
    <xf numFmtId="165" fontId="1" fillId="0" borderId="3" xfId="5" applyFont="1" applyBorder="1" applyAlignment="1" applyProtection="1">
      <alignment horizontal="left"/>
    </xf>
    <xf numFmtId="167" fontId="2" fillId="0" borderId="0" xfId="5" applyNumberFormat="1" applyProtection="1"/>
    <xf numFmtId="167" fontId="2" fillId="0" borderId="0" xfId="5" applyNumberFormat="1" applyAlignment="1" applyProtection="1"/>
    <xf numFmtId="167" fontId="1" fillId="0" borderId="0" xfId="5" applyNumberFormat="1" applyFont="1" applyAlignment="1" applyProtection="1">
      <alignment horizontal="centerContinuous" vertical="center"/>
    </xf>
    <xf numFmtId="167" fontId="2" fillId="0" borderId="0" xfId="5" applyNumberFormat="1" applyAlignment="1" applyProtection="1">
      <alignment horizontal="centerContinuous" vertical="center"/>
    </xf>
    <xf numFmtId="167" fontId="2" fillId="0" borderId="0" xfId="5" applyNumberFormat="1" applyBorder="1" applyAlignment="1" applyProtection="1">
      <alignment horizontal="centerContinuous" vertical="center"/>
    </xf>
    <xf numFmtId="165" fontId="1" fillId="0" borderId="0" xfId="5" applyFont="1" applyBorder="1" applyAlignment="1" applyProtection="1">
      <alignment horizontal="left"/>
    </xf>
    <xf numFmtId="167" fontId="2" fillId="0" borderId="0" xfId="5" applyNumberFormat="1" applyAlignment="1" applyProtection="1">
      <alignment horizontal="right"/>
    </xf>
    <xf numFmtId="167" fontId="2" fillId="0" borderId="6" xfId="5" applyNumberFormat="1" applyBorder="1" applyAlignment="1" applyProtection="1">
      <alignment vertical="top"/>
    </xf>
    <xf numFmtId="175" fontId="2" fillId="0" borderId="6" xfId="5" applyNumberFormat="1" applyBorder="1" applyAlignment="1" applyProtection="1">
      <alignment vertical="top"/>
    </xf>
    <xf numFmtId="165" fontId="2" fillId="0" borderId="0" xfId="5" quotePrefix="1" applyAlignment="1" applyProtection="1">
      <alignment horizontal="left"/>
    </xf>
    <xf numFmtId="165" fontId="2" fillId="0" borderId="0" xfId="5" applyAlignment="1" applyProtection="1">
      <alignment horizontal="left"/>
    </xf>
    <xf numFmtId="168" fontId="2" fillId="0" borderId="0" xfId="5" applyNumberFormat="1" applyProtection="1"/>
    <xf numFmtId="0" fontId="5" fillId="0" borderId="0" xfId="6" applyAlignment="1">
      <alignment vertical="center"/>
    </xf>
    <xf numFmtId="0" fontId="5" fillId="0" borderId="0" xfId="6" applyAlignment="1">
      <alignment horizontal="centerContinuous" vertical="center"/>
    </xf>
    <xf numFmtId="0" fontId="1" fillId="0" borderId="1" xfId="6" applyFont="1" applyBorder="1" applyAlignment="1">
      <alignment vertical="center"/>
    </xf>
    <xf numFmtId="0" fontId="1" fillId="0" borderId="2" xfId="6" applyFont="1" applyBorder="1" applyAlignment="1">
      <alignment vertical="center"/>
    </xf>
    <xf numFmtId="0" fontId="1" fillId="0" borderId="2" xfId="6" applyFont="1" applyBorder="1" applyAlignment="1">
      <alignment horizontal="center" vertical="center"/>
    </xf>
    <xf numFmtId="0" fontId="1" fillId="0" borderId="2" xfId="6" applyFont="1" applyBorder="1" applyAlignment="1">
      <alignment horizontal="centerContinuous" vertical="center"/>
    </xf>
    <xf numFmtId="0" fontId="1" fillId="0" borderId="3" xfId="6" applyFont="1" applyBorder="1" applyAlignment="1" applyProtection="1">
      <alignment horizontal="centerContinuous" vertical="top"/>
    </xf>
    <xf numFmtId="0" fontId="1" fillId="0" borderId="0" xfId="6" applyFont="1" applyBorder="1" applyAlignment="1" applyProtection="1">
      <alignment horizontal="centerContinuous" vertical="top"/>
    </xf>
    <xf numFmtId="0" fontId="1" fillId="0" borderId="0" xfId="6" applyFont="1" applyAlignment="1" applyProtection="1">
      <alignment horizontal="center" vertical="top"/>
    </xf>
    <xf numFmtId="0" fontId="1" fillId="0" borderId="2" xfId="6" applyFont="1" applyBorder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1" fillId="0" borderId="9" xfId="6" applyFont="1" applyBorder="1" applyAlignment="1" applyProtection="1">
      <alignment horizontal="center" vertical="center"/>
    </xf>
    <xf numFmtId="0" fontId="5" fillId="0" borderId="0" xfId="6"/>
    <xf numFmtId="0" fontId="5" fillId="0" borderId="0" xfId="6" applyBorder="1"/>
    <xf numFmtId="0" fontId="1" fillId="0" borderId="3" xfId="6" applyFont="1" applyBorder="1" applyAlignment="1" applyProtection="1">
      <alignment horizontal="left"/>
    </xf>
    <xf numFmtId="167" fontId="2" fillId="0" borderId="0" xfId="6" applyNumberFormat="1" applyFont="1" applyProtection="1"/>
    <xf numFmtId="0" fontId="1" fillId="0" borderId="0" xfId="6" applyFont="1" applyBorder="1" applyAlignment="1" applyProtection="1">
      <alignment horizontal="left"/>
    </xf>
    <xf numFmtId="167" fontId="2" fillId="0" borderId="0" xfId="6" applyNumberFormat="1" applyFont="1" applyAlignment="1" applyProtection="1">
      <alignment horizontal="right"/>
    </xf>
    <xf numFmtId="0" fontId="1" fillId="0" borderId="5" xfId="6" applyFont="1" applyBorder="1" applyAlignment="1" applyProtection="1">
      <alignment horizontal="left" vertical="top"/>
    </xf>
    <xf numFmtId="0" fontId="1" fillId="0" borderId="6" xfId="6" applyFont="1" applyBorder="1" applyAlignment="1" applyProtection="1">
      <alignment horizontal="left" vertical="top"/>
    </xf>
    <xf numFmtId="167" fontId="2" fillId="0" borderId="6" xfId="6" applyNumberFormat="1" applyFont="1" applyBorder="1" applyAlignment="1" applyProtection="1">
      <alignment vertical="top"/>
    </xf>
    <xf numFmtId="0" fontId="5" fillId="0" borderId="0" xfId="6" applyAlignment="1">
      <alignment vertical="top"/>
    </xf>
    <xf numFmtId="0" fontId="2" fillId="0" borderId="0" xfId="6" quotePrefix="1" applyFont="1" applyAlignment="1" applyProtection="1">
      <alignment horizontal="left"/>
    </xf>
    <xf numFmtId="0" fontId="2" fillId="0" borderId="0" xfId="6" applyFont="1"/>
    <xf numFmtId="0" fontId="3" fillId="0" borderId="0" xfId="6" applyFont="1" applyAlignment="1" applyProtection="1">
      <alignment horizontal="right" vertical="top" textRotation="180"/>
    </xf>
    <xf numFmtId="165" fontId="1" fillId="0" borderId="9" xfId="5" applyFont="1" applyBorder="1" applyAlignment="1" applyProtection="1">
      <alignment horizontal="center" vertical="center"/>
    </xf>
    <xf numFmtId="39" fontId="1" fillId="0" borderId="3" xfId="8" applyFont="1" applyBorder="1" applyAlignment="1">
      <alignment horizontal="center" vertical="center"/>
    </xf>
    <xf numFmtId="39" fontId="1" fillId="0" borderId="0" xfId="8" applyFont="1" applyAlignment="1">
      <alignment horizontal="center" vertical="center"/>
    </xf>
    <xf numFmtId="39" fontId="1" fillId="0" borderId="0" xfId="8" applyFont="1" applyAlignment="1" applyProtection="1">
      <alignment horizontal="center" vertical="center"/>
    </xf>
    <xf numFmtId="39" fontId="1" fillId="0" borderId="4" xfId="8" applyFont="1" applyBorder="1" applyAlignment="1" applyProtection="1">
      <alignment horizontal="center" vertical="center"/>
    </xf>
    <xf numFmtId="39" fontId="2" fillId="0" borderId="0" xfId="8" applyAlignment="1">
      <alignment vertical="center"/>
    </xf>
    <xf numFmtId="0" fontId="1" fillId="0" borderId="0" xfId="6" applyFont="1" applyBorder="1" applyAlignment="1">
      <alignment horizontal="centerContinuous" vertical="center"/>
    </xf>
    <xf numFmtId="167" fontId="1" fillId="0" borderId="0" xfId="6" applyNumberFormat="1" applyFont="1" applyAlignment="1" applyProtection="1">
      <alignment horizontal="centerContinuous" vertical="center"/>
    </xf>
    <xf numFmtId="167" fontId="2" fillId="0" borderId="0" xfId="6" applyNumberFormat="1" applyFont="1" applyAlignment="1" applyProtection="1">
      <alignment horizontal="centerContinuous" vertical="center"/>
    </xf>
    <xf numFmtId="0" fontId="2" fillId="0" borderId="0" xfId="6" applyFont="1" applyAlignment="1">
      <alignment horizontal="centerContinuous" vertical="center"/>
    </xf>
    <xf numFmtId="0" fontId="2" fillId="0" borderId="1" xfId="6" applyFont="1" applyBorder="1" applyAlignment="1">
      <alignment vertical="center"/>
    </xf>
    <xf numFmtId="0" fontId="2" fillId="0" borderId="2" xfId="6" applyFont="1" applyBorder="1" applyAlignment="1">
      <alignment horizontal="centerContinuous" vertical="center"/>
    </xf>
    <xf numFmtId="166" fontId="2" fillId="0" borderId="2" xfId="6" applyNumberFormat="1" applyFont="1" applyBorder="1" applyAlignment="1" applyProtection="1">
      <alignment horizontal="centerContinuous" vertical="center"/>
    </xf>
    <xf numFmtId="0" fontId="1" fillId="0" borderId="2" xfId="6" applyFont="1" applyBorder="1" applyAlignment="1" applyProtection="1">
      <alignment horizontal="centerContinuous" vertical="center"/>
    </xf>
    <xf numFmtId="0" fontId="2" fillId="0" borderId="2" xfId="6" applyFont="1" applyBorder="1" applyAlignment="1" applyProtection="1">
      <alignment horizontal="centerContinuous" vertical="center"/>
    </xf>
    <xf numFmtId="0" fontId="2" fillId="0" borderId="0" xfId="6" applyFont="1" applyBorder="1" applyAlignment="1" applyProtection="1">
      <alignment horizontal="centerContinuous" vertical="center"/>
    </xf>
    <xf numFmtId="39" fontId="2" fillId="0" borderId="0" xfId="2" quotePrefix="1" applyFont="1" applyAlignment="1" applyProtection="1">
      <alignment horizontal="left"/>
    </xf>
    <xf numFmtId="39" fontId="2" fillId="0" borderId="0" xfId="2" applyFont="1" applyAlignment="1" applyProtection="1">
      <alignment horizontal="left"/>
    </xf>
    <xf numFmtId="0" fontId="0" fillId="0" borderId="0" xfId="0" applyAlignment="1">
      <alignment horizontal="centerContinuous"/>
    </xf>
    <xf numFmtId="165" fontId="2" fillId="0" borderId="0" xfId="5" applyFont="1"/>
    <xf numFmtId="175" fontId="2" fillId="0" borderId="0" xfId="6" applyNumberFormat="1" applyFont="1" applyBorder="1" applyProtection="1"/>
    <xf numFmtId="175" fontId="2" fillId="0" borderId="0" xfId="6" applyNumberFormat="1" applyFont="1" applyBorder="1" applyAlignment="1" applyProtection="1">
      <alignment horizontal="centerContinuous" vertical="center"/>
    </xf>
    <xf numFmtId="0" fontId="1" fillId="0" borderId="6" xfId="6" applyFont="1" applyBorder="1" applyAlignment="1" applyProtection="1">
      <alignment horizontal="centerContinuous" vertical="top"/>
    </xf>
    <xf numFmtId="39" fontId="2" fillId="0" borderId="6" xfId="2" applyBorder="1" applyAlignment="1">
      <alignment horizontal="centerContinuous"/>
    </xf>
    <xf numFmtId="39" fontId="2" fillId="0" borderId="0" xfId="3" applyBorder="1" applyAlignment="1" applyProtection="1">
      <alignment horizontal="centerContinuous" vertical="top"/>
    </xf>
    <xf numFmtId="49" fontId="1" fillId="0" borderId="3" xfId="3" applyNumberFormat="1" applyFont="1" applyBorder="1" applyAlignment="1" applyProtection="1">
      <alignment horizontal="centerContinuous"/>
    </xf>
    <xf numFmtId="39" fontId="2" fillId="0" borderId="5" xfId="4" applyBorder="1" applyAlignment="1">
      <alignment horizontal="centerContinuous"/>
    </xf>
    <xf numFmtId="39" fontId="2" fillId="0" borderId="6" xfId="4" applyBorder="1" applyAlignment="1">
      <alignment horizontal="centerContinuous"/>
    </xf>
    <xf numFmtId="39" fontId="1" fillId="0" borderId="6" xfId="4" applyFont="1" applyBorder="1" applyAlignment="1" applyProtection="1">
      <alignment horizontal="center" vertical="top"/>
    </xf>
    <xf numFmtId="39" fontId="1" fillId="0" borderId="6" xfId="4" applyFont="1" applyBorder="1" applyAlignment="1">
      <alignment vertical="top"/>
    </xf>
    <xf numFmtId="39" fontId="1" fillId="0" borderId="7" xfId="4" applyFont="1" applyBorder="1" applyAlignment="1">
      <alignment vertical="top"/>
    </xf>
    <xf numFmtId="39" fontId="2" fillId="0" borderId="5" xfId="2" applyBorder="1" applyAlignment="1">
      <alignment horizontal="centerContinuous"/>
    </xf>
    <xf numFmtId="169" fontId="1" fillId="0" borderId="6" xfId="2" applyNumberFormat="1" applyFont="1" applyBorder="1" applyAlignment="1">
      <alignment vertical="top"/>
    </xf>
    <xf numFmtId="169" fontId="1" fillId="0" borderId="6" xfId="2" applyNumberFormat="1" applyFont="1" applyBorder="1" applyAlignment="1" applyProtection="1">
      <alignment horizontal="center" vertical="top"/>
    </xf>
    <xf numFmtId="169" fontId="1" fillId="0" borderId="7" xfId="2" applyNumberFormat="1" applyFont="1" applyBorder="1" applyAlignment="1">
      <alignment vertical="top"/>
    </xf>
    <xf numFmtId="39" fontId="2" fillId="0" borderId="2" xfId="4" applyFont="1" applyBorder="1" applyAlignment="1">
      <alignment horizontal="left"/>
    </xf>
    <xf numFmtId="39" fontId="2" fillId="0" borderId="2" xfId="8" applyFont="1" applyBorder="1" applyAlignment="1" applyProtection="1">
      <alignment horizontal="left"/>
    </xf>
    <xf numFmtId="165" fontId="2" fillId="0" borderId="0" xfId="5" applyFont="1" applyAlignment="1" applyProtection="1">
      <alignment horizontal="left"/>
    </xf>
    <xf numFmtId="0" fontId="2" fillId="0" borderId="0" xfId="6" applyFont="1" applyAlignment="1" applyProtection="1">
      <alignment horizontal="left"/>
    </xf>
    <xf numFmtId="177" fontId="2" fillId="0" borderId="0" xfId="3" applyNumberFormat="1" applyAlignment="1" applyProtection="1"/>
    <xf numFmtId="177" fontId="2" fillId="0" borderId="0" xfId="3" applyNumberFormat="1" applyProtection="1"/>
    <xf numFmtId="177" fontId="2" fillId="0" borderId="0" xfId="3" applyNumberFormat="1" applyBorder="1" applyProtection="1"/>
    <xf numFmtId="177" fontId="2" fillId="0" borderId="0" xfId="3" applyNumberFormat="1"/>
    <xf numFmtId="177" fontId="2" fillId="0" borderId="4" xfId="3" applyNumberFormat="1" applyBorder="1" applyAlignment="1" applyProtection="1"/>
    <xf numFmtId="177" fontId="2" fillId="0" borderId="4" xfId="3" applyNumberFormat="1" applyBorder="1" applyProtection="1"/>
    <xf numFmtId="170" fontId="2" fillId="0" borderId="0" xfId="4" applyNumberFormat="1" applyFont="1" applyBorder="1" applyAlignment="1" applyProtection="1"/>
    <xf numFmtId="170" fontId="2" fillId="0" borderId="0" xfId="4" applyNumberFormat="1" applyAlignment="1" applyProtection="1">
      <alignment horizontal="right"/>
    </xf>
    <xf numFmtId="175" fontId="2" fillId="0" borderId="0" xfId="5" applyNumberFormat="1" applyAlignment="1" applyProtection="1"/>
    <xf numFmtId="175" fontId="2" fillId="0" borderId="0" xfId="5" applyNumberFormat="1" applyAlignment="1" applyProtection="1">
      <alignment horizontal="right"/>
    </xf>
    <xf numFmtId="175" fontId="2" fillId="0" borderId="0" xfId="5" applyNumberFormat="1" applyProtection="1"/>
    <xf numFmtId="175" fontId="2" fillId="0" borderId="0" xfId="5" applyNumberFormat="1" applyAlignment="1" applyProtection="1">
      <alignment horizontal="centerContinuous" vertical="center"/>
    </xf>
    <xf numFmtId="175" fontId="1" fillId="0" borderId="0" xfId="5" applyNumberFormat="1" applyFont="1" applyAlignment="1">
      <alignment horizontal="centerContinuous" vertical="center"/>
    </xf>
    <xf numFmtId="174" fontId="2" fillId="0" borderId="0" xfId="5" applyNumberFormat="1" applyAlignment="1" applyProtection="1">
      <alignment horizontal="right"/>
    </xf>
    <xf numFmtId="174" fontId="2" fillId="0" borderId="0" xfId="5" applyNumberFormat="1" applyAlignment="1" applyProtection="1"/>
    <xf numFmtId="174" fontId="2" fillId="0" borderId="0" xfId="5" applyNumberFormat="1" applyFont="1" applyBorder="1" applyAlignment="1">
      <alignment horizontal="centerContinuous" vertical="center"/>
    </xf>
    <xf numFmtId="174" fontId="2" fillId="0" borderId="0" xfId="5" applyNumberFormat="1" applyBorder="1" applyAlignment="1">
      <alignment horizontal="centerContinuous" vertical="center"/>
    </xf>
    <xf numFmtId="174" fontId="2" fillId="0" borderId="0" xfId="5" applyNumberFormat="1" applyBorder="1" applyAlignment="1" applyProtection="1">
      <alignment horizontal="centerContinuous" vertical="center"/>
    </xf>
    <xf numFmtId="174" fontId="0" fillId="0" borderId="0" xfId="0" applyNumberFormat="1" applyAlignment="1">
      <alignment horizontal="centerContinuous"/>
    </xf>
    <xf numFmtId="174" fontId="2" fillId="0" borderId="0" xfId="5" applyNumberFormat="1" applyAlignment="1" applyProtection="1">
      <alignment horizontal="centerContinuous" vertical="center"/>
    </xf>
    <xf numFmtId="0" fontId="0" fillId="0" borderId="2" xfId="0" applyBorder="1" applyAlignment="1">
      <alignment horizontal="centerContinuous"/>
    </xf>
    <xf numFmtId="165" fontId="2" fillId="0" borderId="0" xfId="7" applyFont="1"/>
    <xf numFmtId="39" fontId="2" fillId="0" borderId="0" xfId="3" applyAlignment="1">
      <alignment vertical="top"/>
    </xf>
    <xf numFmtId="39" fontId="2" fillId="0" borderId="6" xfId="8" applyBorder="1" applyAlignment="1">
      <alignment vertical="top"/>
    </xf>
    <xf numFmtId="39" fontId="2" fillId="0" borderId="0" xfId="4" applyAlignment="1">
      <alignment vertical="top"/>
    </xf>
    <xf numFmtId="39" fontId="2" fillId="0" borderId="0" xfId="4" applyAlignment="1" applyProtection="1">
      <alignment horizontal="left" vertical="top"/>
    </xf>
    <xf numFmtId="39" fontId="2" fillId="0" borderId="2" xfId="2" applyFont="1" applyBorder="1" applyAlignment="1"/>
    <xf numFmtId="39" fontId="2" fillId="0" borderId="2" xfId="2" applyBorder="1" applyAlignment="1" applyProtection="1">
      <alignment horizontal="left"/>
    </xf>
    <xf numFmtId="39" fontId="2" fillId="0" borderId="2" xfId="2" applyBorder="1" applyAlignment="1"/>
    <xf numFmtId="0" fontId="2" fillId="0" borderId="0" xfId="6" applyFont="1" applyAlignment="1"/>
    <xf numFmtId="0" fontId="5" fillId="0" borderId="0" xfId="6" applyAlignment="1"/>
    <xf numFmtId="175" fontId="2" fillId="0" borderId="0" xfId="5" applyNumberFormat="1" applyBorder="1"/>
    <xf numFmtId="175" fontId="2" fillId="0" borderId="0" xfId="5" applyNumberFormat="1" applyBorder="1" applyAlignment="1">
      <alignment horizontal="centerContinuous" vertical="center"/>
    </xf>
    <xf numFmtId="175" fontId="2" fillId="0" borderId="0" xfId="5" applyNumberFormat="1" applyBorder="1" applyAlignment="1" applyProtection="1"/>
    <xf numFmtId="39" fontId="3" fillId="0" borderId="0" xfId="3" applyFont="1" applyAlignment="1" applyProtection="1">
      <alignment horizontal="right" vertical="center"/>
    </xf>
    <xf numFmtId="39" fontId="3" fillId="0" borderId="0" xfId="2" applyFont="1" applyAlignment="1">
      <alignment horizontal="right" vertical="center"/>
    </xf>
    <xf numFmtId="39" fontId="3" fillId="0" borderId="0" xfId="8" applyFont="1" applyAlignment="1" applyProtection="1">
      <alignment horizontal="left" vertical="center"/>
    </xf>
    <xf numFmtId="165" fontId="2" fillId="0" borderId="0" xfId="7" applyFont="1" applyAlignment="1">
      <alignment vertical="top"/>
    </xf>
    <xf numFmtId="165" fontId="2" fillId="0" borderId="0" xfId="7" applyBorder="1"/>
    <xf numFmtId="165" fontId="1" fillId="0" borderId="0" xfId="5" applyFont="1" applyBorder="1" applyAlignment="1">
      <alignment horizontal="centerContinuous" vertical="center"/>
    </xf>
    <xf numFmtId="0" fontId="1" fillId="0" borderId="10" xfId="6" applyFont="1" applyBorder="1" applyAlignment="1">
      <alignment horizontal="centerContinuous" vertical="center"/>
    </xf>
    <xf numFmtId="0" fontId="1" fillId="0" borderId="6" xfId="6" applyFont="1" applyBorder="1" applyAlignment="1" applyProtection="1">
      <alignment horizontal="center" vertical="center"/>
    </xf>
    <xf numFmtId="39" fontId="2" fillId="0" borderId="2" xfId="3" applyBorder="1" applyAlignment="1" applyProtection="1">
      <alignment horizontal="left"/>
    </xf>
    <xf numFmtId="39" fontId="2" fillId="0" borderId="2" xfId="3" applyBorder="1"/>
    <xf numFmtId="170" fontId="2" fillId="0" borderId="2" xfId="2" applyNumberFormat="1" applyBorder="1" applyAlignment="1" applyProtection="1">
      <alignment horizontal="right"/>
    </xf>
    <xf numFmtId="39" fontId="2" fillId="0" borderId="3" xfId="3" applyFont="1" applyBorder="1" applyAlignment="1" applyProtection="1">
      <alignment horizontal="centerContinuous" vertical="top"/>
    </xf>
    <xf numFmtId="165" fontId="3" fillId="0" borderId="0" xfId="5" applyFont="1" applyAlignment="1">
      <alignment horizontal="right" textRotation="180"/>
    </xf>
    <xf numFmtId="0" fontId="4" fillId="0" borderId="0" xfId="6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top"/>
    </xf>
    <xf numFmtId="0" fontId="1" fillId="0" borderId="10" xfId="6" applyFont="1" applyBorder="1" applyAlignment="1" applyProtection="1">
      <alignment horizontal="centerContinuous" vertical="center"/>
    </xf>
    <xf numFmtId="165" fontId="1" fillId="0" borderId="1" xfId="5" applyFon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166" fontId="2" fillId="0" borderId="0" xfId="8" applyNumberFormat="1" applyBorder="1" applyAlignment="1" applyProtection="1">
      <alignment horizontal="center" vertical="top"/>
    </xf>
    <xf numFmtId="37" fontId="2" fillId="0" borderId="0" xfId="8" applyNumberFormat="1" applyBorder="1" applyAlignment="1" applyProtection="1">
      <alignment horizontal="center" vertical="top"/>
    </xf>
    <xf numFmtId="39" fontId="2" fillId="0" borderId="0" xfId="8" applyNumberFormat="1" applyBorder="1" applyAlignment="1" applyProtection="1">
      <alignment horizontal="center" vertical="top"/>
    </xf>
    <xf numFmtId="178" fontId="1" fillId="0" borderId="3" xfId="8" applyNumberFormat="1" applyFont="1" applyBorder="1" applyAlignment="1" applyProtection="1">
      <alignment horizontal="center"/>
    </xf>
    <xf numFmtId="0" fontId="1" fillId="0" borderId="3" xfId="6" applyFont="1" applyBorder="1" applyAlignment="1">
      <alignment horizontal="centerContinuous" vertical="center"/>
    </xf>
    <xf numFmtId="0" fontId="0" fillId="0" borderId="3" xfId="0" applyBorder="1"/>
    <xf numFmtId="165" fontId="1" fillId="0" borderId="5" xfId="5" applyFont="1" applyBorder="1" applyAlignment="1" applyProtection="1">
      <alignment horizontal="centerContinuous" vertical="top"/>
    </xf>
    <xf numFmtId="0" fontId="1" fillId="0" borderId="9" xfId="6" applyFont="1" applyBorder="1" applyAlignment="1" applyProtection="1">
      <alignment horizontal="centerContinuous" vertical="center"/>
    </xf>
    <xf numFmtId="167" fontId="6" fillId="0" borderId="0" xfId="6" applyNumberFormat="1" applyFont="1" applyBorder="1" applyProtection="1"/>
    <xf numFmtId="167" fontId="6" fillId="0" borderId="0" xfId="6" applyNumberFormat="1" applyFont="1" applyBorder="1" applyAlignment="1" applyProtection="1">
      <alignment horizontal="centerContinuous" vertical="center"/>
    </xf>
    <xf numFmtId="0" fontId="5" fillId="0" borderId="0" xfId="6" applyBorder="1" applyAlignment="1" applyProtection="1">
      <alignment horizontal="centerContinuous" vertical="center"/>
    </xf>
    <xf numFmtId="39" fontId="2" fillId="0" borderId="0" xfId="8" applyBorder="1" applyAlignment="1" applyProtection="1">
      <alignment horizontal="center"/>
    </xf>
    <xf numFmtId="37" fontId="2" fillId="0" borderId="0" xfId="8" applyNumberFormat="1" applyBorder="1" applyAlignment="1" applyProtection="1">
      <alignment horizontal="center"/>
    </xf>
    <xf numFmtId="39" fontId="2" fillId="0" borderId="2" xfId="3" applyFont="1" applyBorder="1" applyAlignment="1">
      <alignment horizontal="left"/>
    </xf>
    <xf numFmtId="39" fontId="2" fillId="0" borderId="2" xfId="3" applyFont="1" applyBorder="1" applyAlignment="1" applyProtection="1">
      <alignment horizontal="left"/>
    </xf>
    <xf numFmtId="39" fontId="2" fillId="0" borderId="0" xfId="4" applyBorder="1" applyAlignment="1">
      <alignment vertical="top"/>
    </xf>
    <xf numFmtId="39" fontId="2" fillId="0" borderId="0" xfId="4" applyBorder="1" applyAlignment="1" applyProtection="1">
      <alignment horizontal="left" vertical="top"/>
    </xf>
    <xf numFmtId="169" fontId="2" fillId="0" borderId="0" xfId="4" applyNumberFormat="1" applyBorder="1" applyAlignment="1" applyProtection="1">
      <alignment horizontal="right"/>
    </xf>
    <xf numFmtId="39" fontId="2" fillId="0" borderId="0" xfId="8" applyNumberFormat="1" applyBorder="1" applyAlignment="1" applyProtection="1">
      <alignment horizontal="center"/>
    </xf>
    <xf numFmtId="39" fontId="2" fillId="0" borderId="0" xfId="8" applyNumberFormat="1" applyBorder="1"/>
    <xf numFmtId="39" fontId="2" fillId="0" borderId="0" xfId="8" applyBorder="1" applyProtection="1"/>
    <xf numFmtId="39" fontId="1" fillId="0" borderId="5" xfId="8" applyFont="1" applyBorder="1" applyAlignment="1">
      <alignment horizontal="center" vertical="top"/>
    </xf>
    <xf numFmtId="39" fontId="1" fillId="0" borderId="6" xfId="8" applyFont="1" applyBorder="1" applyAlignment="1" applyProtection="1">
      <alignment horizontal="center" vertical="top"/>
    </xf>
    <xf numFmtId="39" fontId="1" fillId="0" borderId="7" xfId="8" applyFont="1" applyBorder="1" applyAlignment="1" applyProtection="1">
      <alignment horizontal="center" vertical="top"/>
    </xf>
    <xf numFmtId="167" fontId="2" fillId="0" borderId="0" xfId="6" applyNumberFormat="1" applyFont="1" applyBorder="1" applyAlignment="1" applyProtection="1">
      <alignment horizontal="right"/>
    </xf>
    <xf numFmtId="165" fontId="1" fillId="0" borderId="6" xfId="5" applyFont="1" applyBorder="1" applyAlignment="1" applyProtection="1">
      <alignment horizontal="center" vertical="center"/>
    </xf>
    <xf numFmtId="165" fontId="1" fillId="0" borderId="5" xfId="5" applyFont="1" applyBorder="1" applyAlignment="1" applyProtection="1">
      <alignment horizontal="left" vertical="center"/>
    </xf>
    <xf numFmtId="165" fontId="1" fillId="0" borderId="6" xfId="5" applyFont="1" applyBorder="1" applyAlignment="1" applyProtection="1">
      <alignment horizontal="left" vertical="center"/>
    </xf>
    <xf numFmtId="167" fontId="2" fillId="0" borderId="6" xfId="5" applyNumberFormat="1" applyBorder="1" applyAlignment="1" applyProtection="1">
      <alignment vertical="center"/>
    </xf>
    <xf numFmtId="175" fontId="2" fillId="0" borderId="6" xfId="5" applyNumberFormat="1" applyBorder="1" applyAlignment="1" applyProtection="1">
      <alignment vertical="center"/>
    </xf>
    <xf numFmtId="167" fontId="2" fillId="0" borderId="6" xfId="5" applyNumberFormat="1" applyBorder="1" applyAlignment="1" applyProtection="1">
      <alignment horizontal="right" vertical="center"/>
    </xf>
    <xf numFmtId="174" fontId="2" fillId="0" borderId="6" xfId="5" applyNumberFormat="1" applyBorder="1" applyAlignment="1" applyProtection="1">
      <alignment vertical="center"/>
    </xf>
    <xf numFmtId="174" fontId="2" fillId="0" borderId="6" xfId="5" applyNumberFormat="1" applyBorder="1" applyAlignment="1" applyProtection="1">
      <alignment horizontal="right" vertical="center"/>
    </xf>
    <xf numFmtId="167" fontId="2" fillId="0" borderId="0" xfId="5" applyNumberFormat="1" applyBorder="1" applyAlignment="1" applyProtection="1"/>
    <xf numFmtId="0" fontId="0" fillId="0" borderId="2" xfId="0" applyBorder="1"/>
    <xf numFmtId="0" fontId="1" fillId="0" borderId="9" xfId="6" applyFont="1" applyBorder="1" applyAlignment="1">
      <alignment horizontal="centerContinuous" vertical="center"/>
    </xf>
    <xf numFmtId="170" fontId="2" fillId="0" borderId="2" xfId="4" applyNumberFormat="1" applyFont="1" applyBorder="1" applyAlignment="1" applyProtection="1"/>
    <xf numFmtId="170" fontId="2" fillId="0" borderId="2" xfId="4" applyNumberFormat="1" applyBorder="1" applyProtection="1"/>
    <xf numFmtId="170" fontId="2" fillId="0" borderId="8" xfId="4" applyNumberFormat="1" applyBorder="1" applyProtection="1"/>
    <xf numFmtId="170" fontId="2" fillId="0" borderId="0" xfId="4" applyNumberFormat="1" applyBorder="1" applyAlignment="1" applyProtection="1">
      <alignment horizontal="right"/>
    </xf>
    <xf numFmtId="170" fontId="2" fillId="0" borderId="4" xfId="4" applyNumberFormat="1" applyBorder="1" applyAlignment="1" applyProtection="1">
      <alignment horizontal="right"/>
    </xf>
    <xf numFmtId="39" fontId="2" fillId="0" borderId="0" xfId="2" applyBorder="1" applyAlignment="1">
      <alignment horizontal="centerContinuous" vertical="top"/>
    </xf>
    <xf numFmtId="39" fontId="2" fillId="0" borderId="0" xfId="2" applyAlignment="1">
      <alignment vertical="top"/>
    </xf>
    <xf numFmtId="170" fontId="0" fillId="0" borderId="0" xfId="0" applyNumberFormat="1"/>
    <xf numFmtId="170" fontId="0" fillId="0" borderId="4" xfId="0" applyNumberFormat="1" applyBorder="1"/>
    <xf numFmtId="2" fontId="2" fillId="0" borderId="0" xfId="2" applyNumberFormat="1"/>
    <xf numFmtId="2" fontId="2" fillId="0" borderId="0" xfId="2" applyNumberFormat="1" applyBorder="1"/>
    <xf numFmtId="2" fontId="2" fillId="0" borderId="0" xfId="2" applyNumberFormat="1" applyAlignment="1">
      <alignment vertical="top"/>
    </xf>
    <xf numFmtId="39" fontId="1" fillId="0" borderId="2" xfId="8" applyFont="1" applyBorder="1" applyAlignment="1" applyProtection="1">
      <alignment horizontal="centerContinuous"/>
    </xf>
    <xf numFmtId="39" fontId="1" fillId="0" borderId="0" xfId="8" applyFont="1" applyBorder="1" applyAlignment="1" applyProtection="1">
      <alignment horizontal="centerContinuous"/>
    </xf>
    <xf numFmtId="39" fontId="1" fillId="0" borderId="0" xfId="8" applyFont="1" applyAlignment="1" applyProtection="1">
      <alignment horizontal="centerContinuous"/>
    </xf>
    <xf numFmtId="39" fontId="1" fillId="0" borderId="0" xfId="8" applyFont="1" applyAlignment="1" applyProtection="1">
      <alignment horizontal="centerContinuous" vertical="center"/>
    </xf>
    <xf numFmtId="49" fontId="1" fillId="0" borderId="3" xfId="3" applyNumberFormat="1" applyFont="1" applyBorder="1" applyAlignment="1" applyProtection="1">
      <alignment horizontal="centerContinuous" vertical="top"/>
    </xf>
    <xf numFmtId="166" fontId="2" fillId="0" borderId="0" xfId="3" applyNumberFormat="1" applyAlignment="1" applyProtection="1">
      <alignment vertical="top"/>
    </xf>
    <xf numFmtId="39" fontId="1" fillId="0" borderId="3" xfId="4" quotePrefix="1" applyFont="1" applyBorder="1" applyAlignment="1" applyProtection="1">
      <alignment horizontal="centerContinuous" vertical="top"/>
    </xf>
    <xf numFmtId="39" fontId="1" fillId="0" borderId="0" xfId="4" quotePrefix="1" applyFont="1" applyBorder="1" applyAlignment="1" applyProtection="1">
      <alignment horizontal="centerContinuous" vertical="top"/>
    </xf>
    <xf numFmtId="39" fontId="1" fillId="0" borderId="0" xfId="2" applyFont="1" applyBorder="1" applyAlignment="1" applyProtection="1">
      <alignment horizontal="centerContinuous" vertical="top"/>
    </xf>
    <xf numFmtId="39" fontId="2" fillId="0" borderId="0" xfId="2" applyBorder="1" applyAlignment="1">
      <alignment vertical="top"/>
    </xf>
    <xf numFmtId="0" fontId="0" fillId="0" borderId="0" xfId="0" applyBorder="1"/>
    <xf numFmtId="165" fontId="2" fillId="0" borderId="0" xfId="5" applyBorder="1" applyAlignment="1">
      <alignment vertical="center"/>
    </xf>
    <xf numFmtId="0" fontId="5" fillId="0" borderId="10" xfId="6" applyBorder="1" applyAlignment="1">
      <alignment horizontal="centerContinuous" vertical="center"/>
    </xf>
    <xf numFmtId="175" fontId="2" fillId="0" borderId="4" xfId="5" applyNumberFormat="1" applyBorder="1"/>
    <xf numFmtId="175" fontId="2" fillId="0" borderId="4" xfId="5" applyNumberFormat="1" applyBorder="1" applyAlignment="1" applyProtection="1"/>
    <xf numFmtId="175" fontId="2" fillId="0" borderId="7" xfId="5" applyNumberFormat="1" applyBorder="1" applyAlignment="1" applyProtection="1">
      <alignment vertical="center"/>
    </xf>
    <xf numFmtId="175" fontId="2" fillId="0" borderId="0" xfId="5" applyNumberFormat="1" applyBorder="1" applyAlignment="1" applyProtection="1">
      <alignment vertical="center"/>
    </xf>
    <xf numFmtId="165" fontId="2" fillId="0" borderId="6" xfId="5" applyBorder="1"/>
    <xf numFmtId="0" fontId="5" fillId="0" borderId="8" xfId="6" applyBorder="1" applyAlignment="1">
      <alignment horizontal="centerContinuous" vertical="center"/>
    </xf>
    <xf numFmtId="165" fontId="1" fillId="0" borderId="9" xfId="5" applyFont="1" applyBorder="1" applyAlignment="1">
      <alignment horizontal="centerContinuous" vertical="center"/>
    </xf>
    <xf numFmtId="0" fontId="0" fillId="0" borderId="6" xfId="0" applyBorder="1"/>
    <xf numFmtId="0" fontId="0" fillId="0" borderId="6" xfId="0" applyBorder="1" applyAlignment="1">
      <alignment horizontal="centerContinuous"/>
    </xf>
    <xf numFmtId="0" fontId="0" fillId="0" borderId="9" xfId="0" applyBorder="1"/>
    <xf numFmtId="0" fontId="0" fillId="0" borderId="0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175" fontId="2" fillId="0" borderId="0" xfId="5" applyNumberFormat="1" applyBorder="1" applyAlignment="1">
      <alignment vertical="center"/>
    </xf>
    <xf numFmtId="0" fontId="5" fillId="0" borderId="0" xfId="6" applyBorder="1" applyAlignment="1">
      <alignment horizontal="centerContinuous" vertical="center"/>
    </xf>
    <xf numFmtId="0" fontId="5" fillId="0" borderId="4" xfId="6" applyBorder="1" applyAlignment="1">
      <alignment horizontal="centerContinuous" vertical="center"/>
    </xf>
    <xf numFmtId="167" fontId="6" fillId="0" borderId="0" xfId="6" applyNumberFormat="1" applyFont="1" applyBorder="1" applyAlignment="1" applyProtection="1">
      <alignment horizontal="centerContinuous"/>
    </xf>
    <xf numFmtId="175" fontId="6" fillId="0" borderId="4" xfId="6" applyNumberFormat="1" applyFont="1" applyBorder="1" applyProtection="1"/>
    <xf numFmtId="175" fontId="6" fillId="0" borderId="4" xfId="6" applyNumberFormat="1" applyFont="1" applyBorder="1" applyAlignment="1" applyProtection="1">
      <alignment horizontal="centerContinuous"/>
    </xf>
    <xf numFmtId="175" fontId="2" fillId="0" borderId="7" xfId="5" applyNumberFormat="1" applyBorder="1" applyAlignment="1" applyProtection="1">
      <alignment vertical="top"/>
    </xf>
    <xf numFmtId="179" fontId="2" fillId="0" borderId="0" xfId="3" applyNumberFormat="1" applyAlignment="1" applyProtection="1"/>
    <xf numFmtId="179" fontId="2" fillId="0" borderId="4" xfId="3" applyNumberFormat="1" applyBorder="1" applyAlignment="1" applyProtection="1"/>
    <xf numFmtId="179" fontId="2" fillId="0" borderId="0" xfId="3" applyNumberFormat="1" applyAlignment="1" applyProtection="1">
      <alignment horizontal="right"/>
    </xf>
    <xf numFmtId="179" fontId="2" fillId="0" borderId="4" xfId="3" applyNumberFormat="1" applyBorder="1" applyAlignment="1" applyProtection="1">
      <alignment horizontal="right"/>
    </xf>
    <xf numFmtId="179" fontId="2" fillId="0" borderId="0" xfId="3" applyNumberFormat="1" applyAlignment="1" applyProtection="1">
      <alignment horizontal="right" vertical="top"/>
    </xf>
    <xf numFmtId="179" fontId="2" fillId="0" borderId="4" xfId="3" applyNumberFormat="1" applyBorder="1" applyAlignment="1" applyProtection="1">
      <alignment horizontal="right" vertical="top"/>
    </xf>
    <xf numFmtId="179" fontId="2" fillId="0" borderId="0" xfId="3" applyNumberFormat="1" applyProtection="1"/>
    <xf numFmtId="179" fontId="2" fillId="0" borderId="4" xfId="3" applyNumberFormat="1" applyBorder="1" applyProtection="1"/>
    <xf numFmtId="179" fontId="2" fillId="0" borderId="0" xfId="3" applyNumberFormat="1" applyBorder="1" applyProtection="1"/>
    <xf numFmtId="179" fontId="2" fillId="0" borderId="0" xfId="3" applyNumberFormat="1"/>
    <xf numFmtId="179" fontId="2" fillId="0" borderId="4" xfId="3" applyNumberFormat="1" applyBorder="1"/>
    <xf numFmtId="179" fontId="2" fillId="0" borderId="0" xfId="3" applyNumberFormat="1" applyFont="1" applyAlignment="1" applyProtection="1">
      <alignment horizontal="right"/>
    </xf>
    <xf numFmtId="179" fontId="2" fillId="0" borderId="0" xfId="3" applyNumberFormat="1" applyBorder="1" applyAlignment="1" applyProtection="1">
      <alignment horizontal="right" vertical="top"/>
    </xf>
    <xf numFmtId="179" fontId="6" fillId="0" borderId="0" xfId="9" applyNumberFormat="1" applyFont="1"/>
    <xf numFmtId="179" fontId="6" fillId="0" borderId="4" xfId="9" applyNumberFormat="1" applyFont="1" applyBorder="1"/>
    <xf numFmtId="179" fontId="6" fillId="0" borderId="0" xfId="9" applyNumberFormat="1" applyFont="1" applyAlignment="1">
      <alignment vertical="top"/>
    </xf>
    <xf numFmtId="179" fontId="6" fillId="0" borderId="4" xfId="9" applyNumberFormat="1" applyFont="1" applyBorder="1" applyAlignment="1">
      <alignment vertical="top"/>
    </xf>
    <xf numFmtId="179" fontId="2" fillId="0" borderId="0" xfId="4" applyNumberFormat="1" applyFont="1" applyBorder="1" applyAlignment="1" applyProtection="1"/>
    <xf numFmtId="179" fontId="2" fillId="0" borderId="0" xfId="4" applyNumberFormat="1" applyAlignment="1" applyProtection="1">
      <alignment horizontal="right"/>
    </xf>
    <xf numFmtId="179" fontId="2" fillId="0" borderId="4" xfId="4" applyNumberFormat="1" applyBorder="1" applyAlignment="1" applyProtection="1">
      <alignment horizontal="right"/>
    </xf>
    <xf numFmtId="179" fontId="2" fillId="0" borderId="4" xfId="4" applyNumberFormat="1" applyFont="1" applyBorder="1" applyAlignment="1" applyProtection="1"/>
    <xf numFmtId="179" fontId="2" fillId="0" borderId="0" xfId="4" quotePrefix="1" applyNumberFormat="1" applyFont="1" applyBorder="1" applyAlignment="1" applyProtection="1"/>
    <xf numFmtId="179" fontId="2" fillId="0" borderId="4" xfId="4" quotePrefix="1" applyNumberFormat="1" applyFont="1" applyBorder="1" applyAlignment="1" applyProtection="1"/>
    <xf numFmtId="179" fontId="2" fillId="0" borderId="0" xfId="4" quotePrefix="1" applyNumberFormat="1" applyFont="1" applyBorder="1" applyAlignment="1" applyProtection="1">
      <alignment vertical="top"/>
    </xf>
    <xf numFmtId="179" fontId="2" fillId="0" borderId="4" xfId="4" quotePrefix="1" applyNumberFormat="1" applyFont="1" applyBorder="1" applyAlignment="1" applyProtection="1">
      <alignment vertical="top"/>
    </xf>
    <xf numFmtId="179" fontId="2" fillId="0" borderId="0" xfId="4" applyNumberFormat="1" applyBorder="1" applyAlignment="1" applyProtection="1"/>
    <xf numFmtId="179" fontId="2" fillId="0" borderId="0" xfId="4" applyNumberFormat="1"/>
    <xf numFmtId="179" fontId="2" fillId="0" borderId="4" xfId="4" applyNumberFormat="1" applyBorder="1" applyProtection="1"/>
    <xf numFmtId="179" fontId="2" fillId="0" borderId="0" xfId="4" applyNumberFormat="1" applyProtection="1"/>
    <xf numFmtId="179" fontId="1" fillId="0" borderId="0" xfId="4" applyNumberFormat="1" applyFont="1" applyBorder="1" applyAlignment="1" applyProtection="1"/>
    <xf numFmtId="179" fontId="2" fillId="0" borderId="4" xfId="4" applyNumberFormat="1" applyBorder="1"/>
    <xf numFmtId="179" fontId="2" fillId="0" borderId="0" xfId="4" applyNumberFormat="1" applyAlignment="1" applyProtection="1">
      <alignment horizontal="right" vertical="top"/>
    </xf>
    <xf numFmtId="179" fontId="2" fillId="0" borderId="4" xfId="4" applyNumberFormat="1" applyBorder="1" applyAlignment="1" applyProtection="1">
      <alignment horizontal="right" vertical="top"/>
    </xf>
    <xf numFmtId="179" fontId="0" fillId="0" borderId="0" xfId="0" applyNumberFormat="1"/>
    <xf numFmtId="179" fontId="2" fillId="0" borderId="0" xfId="4" applyNumberFormat="1" applyFont="1" applyBorder="1" applyAlignment="1" applyProtection="1">
      <alignment vertical="top"/>
    </xf>
    <xf numFmtId="179" fontId="2" fillId="0" borderId="0" xfId="4" applyNumberFormat="1" applyBorder="1" applyAlignment="1" applyProtection="1">
      <alignment horizontal="right" vertical="top"/>
    </xf>
    <xf numFmtId="179" fontId="0" fillId="0" borderId="4" xfId="0" applyNumberFormat="1" applyBorder="1"/>
    <xf numFmtId="179" fontId="0" fillId="0" borderId="0" xfId="0" applyNumberFormat="1" applyAlignment="1">
      <alignment vertical="top"/>
    </xf>
    <xf numFmtId="179" fontId="0" fillId="0" borderId="4" xfId="0" applyNumberFormat="1" applyBorder="1" applyAlignment="1">
      <alignment vertical="top"/>
    </xf>
    <xf numFmtId="179" fontId="2" fillId="0" borderId="0" xfId="2" applyNumberFormat="1" applyAlignment="1"/>
    <xf numFmtId="179" fontId="2" fillId="0" borderId="4" xfId="2" applyNumberFormat="1" applyBorder="1" applyAlignment="1"/>
    <xf numFmtId="179" fontId="2" fillId="0" borderId="0" xfId="2" applyNumberFormat="1"/>
    <xf numFmtId="179" fontId="2" fillId="0" borderId="4" xfId="2" applyNumberFormat="1" applyBorder="1"/>
    <xf numFmtId="179" fontId="2" fillId="0" borderId="0" xfId="2" applyNumberFormat="1" applyBorder="1"/>
    <xf numFmtId="179" fontId="2" fillId="0" borderId="0" xfId="2" applyNumberFormat="1" applyAlignment="1">
      <alignment vertical="top"/>
    </xf>
    <xf numFmtId="179" fontId="2" fillId="0" borderId="4" xfId="2" applyNumberFormat="1" applyBorder="1" applyAlignment="1">
      <alignment vertical="top"/>
    </xf>
    <xf numFmtId="169" fontId="1" fillId="0" borderId="3" xfId="3" applyNumberFormat="1" applyFont="1" applyBorder="1" applyAlignment="1" applyProtection="1">
      <alignment horizontal="centerContinuous" vertical="top"/>
    </xf>
    <xf numFmtId="169" fontId="1" fillId="0" borderId="0" xfId="3" applyNumberFormat="1" applyFont="1" applyBorder="1" applyAlignment="1" applyProtection="1">
      <alignment horizontal="centerContinuous" vertical="top"/>
    </xf>
    <xf numFmtId="179" fontId="2" fillId="0" borderId="0" xfId="3" applyNumberFormat="1" applyAlignment="1" applyProtection="1">
      <alignment vertical="top"/>
    </xf>
    <xf numFmtId="179" fontId="2" fillId="0" borderId="4" xfId="3" applyNumberFormat="1" applyBorder="1" applyAlignment="1" applyProtection="1">
      <alignment vertical="top"/>
    </xf>
    <xf numFmtId="169" fontId="2" fillId="0" borderId="0" xfId="3" applyNumberFormat="1" applyAlignment="1" applyProtection="1">
      <alignment vertical="top"/>
    </xf>
    <xf numFmtId="175" fontId="6" fillId="0" borderId="0" xfId="6" applyNumberFormat="1" applyFont="1" applyBorder="1" applyProtection="1"/>
    <xf numFmtId="175" fontId="6" fillId="0" borderId="0" xfId="6" applyNumberFormat="1" applyFont="1" applyBorder="1" applyAlignment="1" applyProtection="1">
      <alignment horizontal="centerContinuous"/>
    </xf>
    <xf numFmtId="0" fontId="1" fillId="0" borderId="11" xfId="6" applyFont="1" applyBorder="1" applyAlignment="1">
      <alignment horizontal="centerContinuous" vertical="center"/>
    </xf>
    <xf numFmtId="0" fontId="1" fillId="0" borderId="10" xfId="6" applyFont="1" applyBorder="1" applyAlignment="1" applyProtection="1">
      <alignment horizontal="center" vertical="center"/>
    </xf>
    <xf numFmtId="0" fontId="5" fillId="0" borderId="2" xfId="6" applyBorder="1" applyAlignment="1">
      <alignment horizontal="centerContinuous" vertical="center"/>
    </xf>
    <xf numFmtId="179" fontId="6" fillId="0" borderId="7" xfId="9" applyNumberFormat="1" applyFont="1" applyBorder="1" applyAlignment="1">
      <alignment vertical="top"/>
    </xf>
    <xf numFmtId="179" fontId="2" fillId="0" borderId="7" xfId="2" applyNumberFormat="1" applyBorder="1" applyAlignment="1">
      <alignment vertical="top"/>
    </xf>
    <xf numFmtId="175" fontId="2" fillId="0" borderId="0" xfId="5" applyNumberFormat="1" applyFont="1" applyBorder="1" applyAlignment="1">
      <alignment horizontal="centerContinuous" vertical="center"/>
    </xf>
    <xf numFmtId="175" fontId="9" fillId="0" borderId="0" xfId="5" applyNumberFormat="1" applyFont="1" applyAlignment="1" applyProtection="1">
      <alignment horizontal="centerContinuous" vertical="center"/>
    </xf>
    <xf numFmtId="0" fontId="1" fillId="0" borderId="2" xfId="0" applyFont="1" applyBorder="1" applyAlignment="1">
      <alignment horizontal="center"/>
    </xf>
    <xf numFmtId="165" fontId="2" fillId="0" borderId="9" xfId="5" applyBorder="1" applyAlignment="1">
      <alignment vertical="center"/>
    </xf>
    <xf numFmtId="165" fontId="1" fillId="0" borderId="9" xfId="5" quotePrefix="1" applyFont="1" applyBorder="1" applyAlignment="1" applyProtection="1">
      <alignment horizontal="center" vertical="center"/>
    </xf>
    <xf numFmtId="165" fontId="1" fillId="0" borderId="10" xfId="5" applyFont="1" applyBorder="1" applyAlignment="1" applyProtection="1">
      <alignment horizontal="center" vertical="center"/>
    </xf>
    <xf numFmtId="39" fontId="1" fillId="0" borderId="3" xfId="4" quotePrefix="1" applyNumberFormat="1" applyFont="1" applyBorder="1" applyAlignment="1" applyProtection="1">
      <alignment horizontal="centerContinuous"/>
    </xf>
    <xf numFmtId="0" fontId="0" fillId="0" borderId="8" xfId="0" applyBorder="1" applyAlignment="1">
      <alignment horizontal="centerContinuous"/>
    </xf>
    <xf numFmtId="0" fontId="1" fillId="0" borderId="9" xfId="0" applyFont="1" applyBorder="1" applyAlignment="1">
      <alignment horizontal="left"/>
    </xf>
    <xf numFmtId="165" fontId="1" fillId="0" borderId="0" xfId="5" applyFont="1" applyBorder="1" applyAlignment="1" applyProtection="1">
      <alignment horizontal="left" vertical="center"/>
    </xf>
    <xf numFmtId="167" fontId="2" fillId="0" borderId="0" xfId="5" applyNumberFormat="1" applyBorder="1" applyAlignment="1" applyProtection="1">
      <alignment vertical="center"/>
    </xf>
    <xf numFmtId="167" fontId="2" fillId="0" borderId="0" xfId="5" applyNumberFormat="1" applyBorder="1" applyAlignment="1" applyProtection="1">
      <alignment horizontal="right" vertical="center"/>
    </xf>
    <xf numFmtId="174" fontId="2" fillId="0" borderId="0" xfId="5" applyNumberFormat="1" applyBorder="1" applyAlignment="1" applyProtection="1">
      <alignment vertical="center"/>
    </xf>
    <xf numFmtId="174" fontId="2" fillId="0" borderId="0" xfId="5" applyNumberFormat="1" applyBorder="1" applyAlignment="1" applyProtection="1">
      <alignment horizontal="right" vertical="center"/>
    </xf>
    <xf numFmtId="165" fontId="1" fillId="0" borderId="3" xfId="5" applyFont="1" applyBorder="1" applyAlignment="1" applyProtection="1">
      <alignment horizontal="left" vertical="center"/>
    </xf>
    <xf numFmtId="175" fontId="2" fillId="0" borderId="4" xfId="5" applyNumberFormat="1" applyBorder="1" applyAlignment="1" applyProtection="1">
      <alignment vertical="center"/>
    </xf>
    <xf numFmtId="175" fontId="2" fillId="0" borderId="6" xfId="5" applyNumberFormat="1" applyBorder="1" applyAlignment="1" applyProtection="1"/>
    <xf numFmtId="167" fontId="2" fillId="0" borderId="6" xfId="5" applyNumberFormat="1" applyBorder="1" applyAlignment="1" applyProtection="1">
      <alignment horizontal="right"/>
    </xf>
    <xf numFmtId="175" fontId="9" fillId="0" borderId="0" xfId="5" applyNumberFormat="1" applyFont="1" applyBorder="1" applyAlignment="1" applyProtection="1">
      <alignment horizontal="center" vertical="center"/>
    </xf>
    <xf numFmtId="175" fontId="9" fillId="0" borderId="4" xfId="5" applyNumberFormat="1" applyFont="1" applyBorder="1" applyAlignment="1" applyProtection="1">
      <alignment horizontal="center" vertical="center"/>
    </xf>
    <xf numFmtId="165" fontId="2" fillId="0" borderId="3" xfId="5" applyBorder="1" applyAlignment="1">
      <alignment vertical="center"/>
    </xf>
    <xf numFmtId="175" fontId="9" fillId="0" borderId="0" xfId="5" quotePrefix="1" applyNumberFormat="1" applyFont="1" applyBorder="1" applyAlignment="1" applyProtection="1">
      <alignment horizontal="left" vertical="center"/>
    </xf>
    <xf numFmtId="175" fontId="9" fillId="0" borderId="4" xfId="5" quotePrefix="1" applyNumberFormat="1" applyFont="1" applyBorder="1" applyAlignment="1" applyProtection="1">
      <alignment horizontal="left" vertical="center"/>
    </xf>
    <xf numFmtId="175" fontId="9" fillId="0" borderId="0" xfId="5" quotePrefix="1" applyNumberFormat="1" applyFont="1" applyBorder="1" applyAlignment="1" applyProtection="1">
      <alignment vertical="center"/>
    </xf>
    <xf numFmtId="175" fontId="2" fillId="0" borderId="6" xfId="5" applyNumberFormat="1" applyBorder="1" applyAlignment="1" applyProtection="1">
      <alignment horizontal="right"/>
    </xf>
    <xf numFmtId="175" fontId="2" fillId="0" borderId="0" xfId="5" applyNumberFormat="1" applyAlignment="1">
      <alignment vertical="center"/>
    </xf>
    <xf numFmtId="165" fontId="1" fillId="0" borderId="3" xfId="5" quotePrefix="1" applyFont="1" applyBorder="1" applyAlignment="1" applyProtection="1">
      <alignment horizontal="left"/>
    </xf>
    <xf numFmtId="165" fontId="1" fillId="0" borderId="5" xfId="5" quotePrefix="1" applyFont="1" applyBorder="1" applyAlignment="1" applyProtection="1">
      <alignment horizontal="left"/>
    </xf>
    <xf numFmtId="175" fontId="9" fillId="0" borderId="0" xfId="5" quotePrefix="1" applyNumberFormat="1" applyFont="1" applyBorder="1" applyAlignment="1" applyProtection="1">
      <alignment horizontal="center" vertical="center"/>
    </xf>
    <xf numFmtId="175" fontId="2" fillId="0" borderId="0" xfId="5" applyNumberFormat="1" applyBorder="1" applyAlignment="1" applyProtection="1">
      <alignment horizontal="right"/>
    </xf>
    <xf numFmtId="165" fontId="4" fillId="0" borderId="0" xfId="5" quotePrefix="1" applyFont="1" applyAlignment="1">
      <alignment horizontal="center"/>
    </xf>
    <xf numFmtId="179" fontId="2" fillId="2" borderId="0" xfId="2" applyNumberFormat="1" applyFill="1" applyAlignment="1">
      <alignment vertical="top"/>
    </xf>
    <xf numFmtId="179" fontId="6" fillId="2" borderId="0" xfId="9" applyNumberFormat="1" applyFont="1" applyFill="1" applyAlignment="1">
      <alignment vertical="top"/>
    </xf>
    <xf numFmtId="179" fontId="2" fillId="0" borderId="7" xfId="4" applyNumberFormat="1" applyFont="1" applyBorder="1" applyAlignment="1" applyProtection="1"/>
    <xf numFmtId="179" fontId="2" fillId="0" borderId="0" xfId="4" quotePrefix="1" applyNumberFormat="1" applyFont="1" applyFill="1" applyBorder="1" applyAlignment="1" applyProtection="1">
      <alignment vertical="top"/>
    </xf>
    <xf numFmtId="179" fontId="2" fillId="0" borderId="4" xfId="4" quotePrefix="1" applyNumberFormat="1" applyFont="1" applyFill="1" applyBorder="1" applyAlignment="1" applyProtection="1">
      <alignment vertical="top"/>
    </xf>
    <xf numFmtId="179" fontId="2" fillId="0" borderId="0" xfId="4" quotePrefix="1" applyNumberFormat="1" applyFont="1" applyFill="1" applyBorder="1" applyAlignment="1" applyProtection="1"/>
    <xf numFmtId="179" fontId="2" fillId="0" borderId="4" xfId="4" quotePrefix="1" applyNumberFormat="1" applyFont="1" applyFill="1" applyBorder="1" applyAlignment="1" applyProtection="1"/>
    <xf numFmtId="179" fontId="6" fillId="3" borderId="0" xfId="9" applyNumberFormat="1" applyFont="1" applyFill="1" applyAlignment="1">
      <alignment vertical="top"/>
    </xf>
    <xf numFmtId="179" fontId="2" fillId="0" borderId="8" xfId="4" applyNumberFormat="1" applyFont="1" applyBorder="1" applyAlignment="1" applyProtection="1"/>
    <xf numFmtId="39" fontId="3" fillId="0" borderId="0" xfId="3" applyFont="1" applyAlignment="1" applyProtection="1">
      <alignment horizontal="left" vertical="center"/>
    </xf>
    <xf numFmtId="39" fontId="3" fillId="0" borderId="0" xfId="4" applyFont="1" applyAlignment="1" applyProtection="1">
      <alignment horizontal="right" vertical="center"/>
    </xf>
    <xf numFmtId="39" fontId="3" fillId="0" borderId="0" xfId="2" applyFont="1" applyAlignment="1">
      <alignment horizontal="left" vertical="center"/>
    </xf>
    <xf numFmtId="179" fontId="2" fillId="2" borderId="0" xfId="4" applyNumberFormat="1" applyFont="1" applyFill="1" applyBorder="1" applyAlignment="1" applyProtection="1"/>
    <xf numFmtId="0" fontId="13" fillId="0" borderId="0" xfId="0" applyFont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1" fontId="9" fillId="0" borderId="0" xfId="5" quotePrefix="1" applyNumberFormat="1" applyFont="1" applyBorder="1" applyAlignment="1" applyProtection="1">
      <alignment horizontal="center" vertical="center"/>
    </xf>
    <xf numFmtId="175" fontId="2" fillId="0" borderId="4" xfId="5" applyNumberFormat="1" applyBorder="1" applyAlignment="1" applyProtection="1">
      <alignment horizontal="right"/>
    </xf>
    <xf numFmtId="175" fontId="2" fillId="0" borderId="7" xfId="5" applyNumberFormat="1" applyBorder="1" applyAlignment="1" applyProtection="1">
      <alignment horizontal="right"/>
    </xf>
    <xf numFmtId="165" fontId="2" fillId="0" borderId="2" xfId="5" applyBorder="1" applyAlignment="1">
      <alignment vertical="center"/>
    </xf>
    <xf numFmtId="165" fontId="1" fillId="0" borderId="4" xfId="5" applyFont="1" applyBorder="1" applyAlignment="1" applyProtection="1">
      <alignment horizontal="center" vertical="center"/>
    </xf>
    <xf numFmtId="165" fontId="2" fillId="0" borderId="4" xfId="5" applyBorder="1" applyAlignment="1">
      <alignment vertical="center"/>
    </xf>
    <xf numFmtId="0" fontId="2" fillId="0" borderId="4" xfId="5" applyNumberFormat="1" applyBorder="1" applyAlignment="1">
      <alignment horizontal="center"/>
    </xf>
    <xf numFmtId="174" fontId="2" fillId="0" borderId="4" xfId="5" applyNumberFormat="1" applyBorder="1" applyAlignment="1">
      <alignment horizontal="center"/>
    </xf>
    <xf numFmtId="179" fontId="2" fillId="0" borderId="6" xfId="4" applyNumberFormat="1" applyFont="1" applyBorder="1" applyAlignment="1" applyProtection="1"/>
    <xf numFmtId="173" fontId="2" fillId="0" borderId="0" xfId="3" applyNumberFormat="1"/>
    <xf numFmtId="173" fontId="2" fillId="0" borderId="0" xfId="4" applyNumberFormat="1" applyAlignment="1">
      <alignment vertical="top"/>
    </xf>
    <xf numFmtId="39" fontId="2" fillId="0" borderId="0" xfId="2" applyFont="1" applyBorder="1" applyAlignment="1"/>
    <xf numFmtId="39" fontId="2" fillId="0" borderId="0" xfId="2" applyBorder="1" applyAlignment="1" applyProtection="1">
      <alignment horizontal="left"/>
    </xf>
    <xf numFmtId="170" fontId="2" fillId="0" borderId="0" xfId="2" applyNumberFormat="1" applyBorder="1" applyAlignment="1" applyProtection="1">
      <alignment horizontal="right"/>
    </xf>
    <xf numFmtId="39" fontId="2" fillId="0" borderId="5" xfId="3" applyFont="1" applyBorder="1" applyAlignment="1" applyProtection="1">
      <alignment horizontal="centerContinuous" vertical="top"/>
    </xf>
    <xf numFmtId="39" fontId="2" fillId="0" borderId="6" xfId="2" applyBorder="1" applyAlignment="1">
      <alignment horizontal="centerContinuous" vertical="top"/>
    </xf>
    <xf numFmtId="165" fontId="2" fillId="3" borderId="0" xfId="5" applyFill="1"/>
    <xf numFmtId="165" fontId="2" fillId="0" borderId="0" xfId="5" applyFill="1"/>
    <xf numFmtId="165" fontId="2" fillId="0" borderId="0" xfId="5" applyFill="1" applyAlignment="1">
      <alignment horizontal="centerContinuous"/>
    </xf>
    <xf numFmtId="165" fontId="2" fillId="0" borderId="0" xfId="5" applyFill="1" applyBorder="1"/>
    <xf numFmtId="165" fontId="2" fillId="0" borderId="6" xfId="5" applyFill="1" applyBorder="1"/>
    <xf numFmtId="0" fontId="0" fillId="0" borderId="6" xfId="0" applyFill="1" applyBorder="1"/>
    <xf numFmtId="0" fontId="0" fillId="0" borderId="0" xfId="0" applyFill="1" applyBorder="1"/>
    <xf numFmtId="165" fontId="1" fillId="0" borderId="1" xfId="5" applyFont="1" applyFill="1" applyBorder="1" applyAlignment="1">
      <alignment vertical="center"/>
    </xf>
    <xf numFmtId="165" fontId="1" fillId="0" borderId="2" xfId="5" applyFont="1" applyFill="1" applyBorder="1" applyAlignment="1">
      <alignment vertical="center"/>
    </xf>
    <xf numFmtId="165" fontId="1" fillId="0" borderId="2" xfId="5" applyFont="1" applyFill="1" applyBorder="1" applyAlignment="1" applyProtection="1">
      <alignment horizontal="centerContinuous" vertical="center"/>
    </xf>
    <xf numFmtId="165" fontId="2" fillId="0" borderId="2" xfId="5" applyFill="1" applyBorder="1" applyAlignment="1">
      <alignment horizontal="centerContinuous" vertical="center"/>
    </xf>
    <xf numFmtId="165" fontId="1" fillId="0" borderId="2" xfId="5" applyFont="1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165" fontId="1" fillId="0" borderId="9" xfId="5" applyFont="1" applyFill="1" applyBorder="1" applyAlignment="1" applyProtection="1">
      <alignment horizontal="centerContinuous" vertical="center"/>
    </xf>
    <xf numFmtId="0" fontId="0" fillId="0" borderId="2" xfId="0" applyFill="1" applyBorder="1"/>
    <xf numFmtId="0" fontId="0" fillId="0" borderId="9" xfId="0" applyFill="1" applyBorder="1"/>
    <xf numFmtId="165" fontId="1" fillId="0" borderId="8" xfId="5" applyFont="1" applyFill="1" applyBorder="1" applyAlignment="1">
      <alignment horizontal="centerContinuous" vertical="center"/>
    </xf>
    <xf numFmtId="165" fontId="1" fillId="0" borderId="9" xfId="5" applyFont="1" applyFill="1" applyBorder="1" applyAlignment="1">
      <alignment horizontal="centerContinuous" vertical="center"/>
    </xf>
    <xf numFmtId="0" fontId="0" fillId="0" borderId="0" xfId="0" applyFill="1" applyBorder="1" applyAlignment="1">
      <alignment horizontal="centerContinuous"/>
    </xf>
    <xf numFmtId="0" fontId="1" fillId="0" borderId="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5" fontId="1" fillId="0" borderId="5" xfId="5" applyFont="1" applyFill="1" applyBorder="1" applyAlignment="1" applyProtection="1">
      <alignment horizontal="centerContinuous" vertical="top"/>
    </xf>
    <xf numFmtId="165" fontId="1" fillId="0" borderId="0" xfId="5" quotePrefix="1" applyFont="1" applyFill="1" applyAlignment="1" applyProtection="1">
      <alignment horizontal="center" vertical="top"/>
    </xf>
    <xf numFmtId="165" fontId="1" fillId="0" borderId="2" xfId="5" applyFont="1" applyFill="1" applyBorder="1" applyAlignment="1" applyProtection="1">
      <alignment horizontal="center" vertical="center"/>
    </xf>
    <xf numFmtId="165" fontId="1" fillId="0" borderId="0" xfId="5" applyFont="1" applyFill="1" applyBorder="1" applyAlignment="1" applyProtection="1">
      <alignment horizontal="center" vertical="center"/>
    </xf>
    <xf numFmtId="165" fontId="1" fillId="0" borderId="9" xfId="5" applyFont="1" applyFill="1" applyBorder="1" applyAlignment="1" applyProtection="1">
      <alignment horizontal="center" vertical="center"/>
    </xf>
    <xf numFmtId="165" fontId="1" fillId="0" borderId="6" xfId="5" quotePrefix="1" applyFont="1" applyFill="1" applyBorder="1" applyAlignment="1">
      <alignment horizontal="center" vertical="center"/>
    </xf>
    <xf numFmtId="165" fontId="1" fillId="0" borderId="9" xfId="5" quotePrefix="1" applyFont="1" applyFill="1" applyBorder="1" applyAlignment="1">
      <alignment horizontal="center" vertical="center"/>
    </xf>
    <xf numFmtId="165" fontId="1" fillId="0" borderId="6" xfId="5" applyFont="1" applyFill="1" applyBorder="1" applyAlignment="1" applyProtection="1">
      <alignment horizontal="center" vertical="center"/>
    </xf>
    <xf numFmtId="165" fontId="1" fillId="0" borderId="9" xfId="5" quotePrefix="1" applyFont="1" applyFill="1" applyBorder="1" applyAlignment="1" applyProtection="1">
      <alignment horizontal="center" vertical="center"/>
    </xf>
    <xf numFmtId="165" fontId="1" fillId="0" borderId="10" xfId="5" applyFont="1" applyFill="1" applyBorder="1" applyAlignment="1" applyProtection="1">
      <alignment horizontal="center" vertical="center"/>
    </xf>
    <xf numFmtId="0" fontId="0" fillId="0" borderId="3" xfId="0" applyFill="1" applyBorder="1"/>
    <xf numFmtId="165" fontId="2" fillId="0" borderId="2" xfId="5" applyFill="1" applyBorder="1" applyAlignment="1" applyProtection="1">
      <alignment horizontal="centerContinuous" vertical="center"/>
    </xf>
    <xf numFmtId="0" fontId="0" fillId="0" borderId="0" xfId="0" applyFill="1" applyAlignment="1">
      <alignment horizontal="centerContinuous"/>
    </xf>
    <xf numFmtId="165" fontId="2" fillId="0" borderId="0" xfId="5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/>
    </xf>
    <xf numFmtId="165" fontId="2" fillId="0" borderId="0" xfId="5" applyFill="1" applyBorder="1" applyAlignment="1">
      <alignment vertical="center"/>
    </xf>
    <xf numFmtId="165" fontId="2" fillId="0" borderId="4" xfId="5" applyFill="1" applyBorder="1" applyAlignment="1">
      <alignment vertical="center"/>
    </xf>
    <xf numFmtId="165" fontId="1" fillId="0" borderId="3" xfId="5" applyFont="1" applyFill="1" applyBorder="1" applyAlignment="1" applyProtection="1">
      <alignment horizontal="left"/>
    </xf>
    <xf numFmtId="175" fontId="2" fillId="0" borderId="0" xfId="5" applyNumberFormat="1" applyFill="1" applyAlignment="1" applyProtection="1"/>
    <xf numFmtId="175" fontId="2" fillId="0" borderId="0" xfId="5" applyNumberFormat="1" applyFill="1" applyBorder="1"/>
    <xf numFmtId="167" fontId="2" fillId="0" borderId="0" xfId="5" applyNumberFormat="1" applyFill="1" applyProtection="1"/>
    <xf numFmtId="175" fontId="2" fillId="0" borderId="4" xfId="5" applyNumberFormat="1" applyFill="1" applyBorder="1"/>
    <xf numFmtId="165" fontId="1" fillId="0" borderId="3" xfId="5" quotePrefix="1" applyFont="1" applyFill="1" applyBorder="1" applyAlignment="1" applyProtection="1">
      <alignment horizontal="left"/>
    </xf>
    <xf numFmtId="175" fontId="2" fillId="0" borderId="0" xfId="5" applyNumberFormat="1" applyFill="1" applyBorder="1" applyAlignment="1" applyProtection="1"/>
    <xf numFmtId="165" fontId="2" fillId="0" borderId="3" xfId="5" applyFill="1" applyBorder="1" applyAlignment="1">
      <alignment vertical="center"/>
    </xf>
    <xf numFmtId="165" fontId="2" fillId="0" borderId="0" xfId="5" applyFill="1" applyAlignment="1">
      <alignment vertical="center"/>
    </xf>
    <xf numFmtId="175" fontId="2" fillId="0" borderId="0" xfId="5" applyNumberFormat="1" applyFill="1" applyAlignment="1">
      <alignment vertical="center"/>
    </xf>
    <xf numFmtId="175" fontId="9" fillId="0" borderId="0" xfId="5" quotePrefix="1" applyNumberFormat="1" applyFont="1" applyFill="1" applyBorder="1" applyAlignment="1" applyProtection="1">
      <alignment vertical="center"/>
    </xf>
    <xf numFmtId="175" fontId="9" fillId="0" borderId="0" xfId="5" quotePrefix="1" applyNumberFormat="1" applyFont="1" applyFill="1" applyBorder="1" applyAlignment="1" applyProtection="1">
      <alignment horizontal="center" vertical="center"/>
    </xf>
    <xf numFmtId="175" fontId="9" fillId="0" borderId="0" xfId="5" applyNumberFormat="1" applyFont="1" applyFill="1" applyBorder="1" applyAlignment="1" applyProtection="1">
      <alignment horizontal="center" vertical="center"/>
    </xf>
    <xf numFmtId="175" fontId="9" fillId="0" borderId="4" xfId="5" applyNumberFormat="1" applyFont="1" applyFill="1" applyBorder="1" applyAlignment="1" applyProtection="1">
      <alignment horizontal="center" vertical="center"/>
    </xf>
    <xf numFmtId="167" fontId="2" fillId="0" borderId="0" xfId="5" applyNumberFormat="1" applyFill="1" applyAlignment="1" applyProtection="1">
      <alignment horizontal="right"/>
    </xf>
    <xf numFmtId="174" fontId="2" fillId="0" borderId="0" xfId="5" applyNumberFormat="1" applyFill="1" applyAlignment="1" applyProtection="1"/>
    <xf numFmtId="174" fontId="2" fillId="0" borderId="0" xfId="5" applyNumberFormat="1" applyFill="1" applyAlignment="1" applyProtection="1">
      <alignment horizontal="right"/>
    </xf>
    <xf numFmtId="175" fontId="2" fillId="0" borderId="4" xfId="5" applyNumberFormat="1" applyFill="1" applyBorder="1" applyAlignment="1" applyProtection="1"/>
    <xf numFmtId="167" fontId="2" fillId="0" borderId="0" xfId="5" applyNumberFormat="1" applyFill="1" applyBorder="1" applyAlignment="1" applyProtection="1">
      <alignment vertical="center"/>
    </xf>
    <xf numFmtId="167" fontId="2" fillId="0" borderId="0" xfId="5" applyNumberFormat="1" applyFill="1" applyBorder="1" applyAlignment="1" applyProtection="1">
      <alignment horizontal="right" vertical="center"/>
    </xf>
    <xf numFmtId="174" fontId="2" fillId="0" borderId="0" xfId="5" applyNumberFormat="1" applyFill="1" applyBorder="1" applyAlignment="1" applyProtection="1">
      <alignment vertical="center"/>
    </xf>
    <xf numFmtId="174" fontId="2" fillId="0" borderId="0" xfId="5" applyNumberFormat="1" applyFill="1" applyBorder="1" applyAlignment="1" applyProtection="1">
      <alignment horizontal="right" vertical="center"/>
    </xf>
    <xf numFmtId="175" fontId="2" fillId="0" borderId="0" xfId="5" applyNumberFormat="1" applyFill="1" applyBorder="1" applyAlignment="1" applyProtection="1">
      <alignment vertical="center"/>
    </xf>
    <xf numFmtId="175" fontId="9" fillId="0" borderId="0" xfId="5" quotePrefix="1" applyNumberFormat="1" applyFont="1" applyFill="1" applyBorder="1" applyAlignment="1" applyProtection="1">
      <alignment horizontal="left" vertical="center"/>
    </xf>
    <xf numFmtId="175" fontId="9" fillId="0" borderId="4" xfId="5" quotePrefix="1" applyNumberFormat="1" applyFont="1" applyFill="1" applyBorder="1" applyAlignment="1" applyProtection="1">
      <alignment horizontal="left" vertical="center"/>
    </xf>
    <xf numFmtId="175" fontId="2" fillId="0" borderId="0" xfId="5" applyNumberFormat="1" applyFill="1" applyAlignment="1" applyProtection="1">
      <alignment horizontal="right"/>
    </xf>
    <xf numFmtId="175" fontId="2" fillId="0" borderId="0" xfId="5" applyNumberFormat="1" applyFill="1" applyBorder="1" applyAlignment="1" applyProtection="1">
      <alignment horizontal="right"/>
    </xf>
    <xf numFmtId="175" fontId="2" fillId="0" borderId="4" xfId="5" applyNumberFormat="1" applyFill="1" applyBorder="1" applyAlignment="1" applyProtection="1">
      <alignment horizontal="right"/>
    </xf>
    <xf numFmtId="167" fontId="2" fillId="0" borderId="0" xfId="5" applyNumberFormat="1" applyFill="1" applyBorder="1" applyAlignment="1" applyProtection="1">
      <alignment horizontal="right"/>
    </xf>
    <xf numFmtId="165" fontId="1" fillId="0" borderId="5" xfId="5" applyFont="1" applyFill="1" applyBorder="1" applyAlignment="1" applyProtection="1">
      <alignment horizontal="left"/>
    </xf>
    <xf numFmtId="175" fontId="2" fillId="0" borderId="6" xfId="5" applyNumberFormat="1" applyFill="1" applyBorder="1" applyAlignment="1" applyProtection="1"/>
    <xf numFmtId="167" fontId="2" fillId="0" borderId="6" xfId="5" applyNumberFormat="1" applyFill="1" applyBorder="1" applyAlignment="1" applyProtection="1">
      <alignment horizontal="right"/>
    </xf>
    <xf numFmtId="167" fontId="2" fillId="0" borderId="6" xfId="5" applyNumberFormat="1" applyFill="1" applyBorder="1" applyAlignment="1" applyProtection="1">
      <alignment vertical="center"/>
    </xf>
    <xf numFmtId="167" fontId="2" fillId="0" borderId="6" xfId="5" applyNumberFormat="1" applyFill="1" applyBorder="1" applyAlignment="1" applyProtection="1">
      <alignment horizontal="right" vertical="center"/>
    </xf>
    <xf numFmtId="175" fontId="2" fillId="0" borderId="6" xfId="5" applyNumberFormat="1" applyFill="1" applyBorder="1" applyAlignment="1" applyProtection="1">
      <alignment vertical="center"/>
    </xf>
    <xf numFmtId="175" fontId="2" fillId="0" borderId="6" xfId="5" applyNumberFormat="1" applyFill="1" applyBorder="1" applyAlignment="1" applyProtection="1">
      <alignment horizontal="right"/>
    </xf>
    <xf numFmtId="175" fontId="2" fillId="0" borderId="7" xfId="5" applyNumberFormat="1" applyFill="1" applyBorder="1" applyAlignment="1" applyProtection="1">
      <alignment horizontal="right"/>
    </xf>
    <xf numFmtId="0" fontId="0" fillId="0" borderId="2" xfId="0" applyFill="1" applyBorder="1" applyAlignment="1">
      <alignment horizontal="center"/>
    </xf>
    <xf numFmtId="165" fontId="3" fillId="0" borderId="0" xfId="5" applyFont="1" applyFill="1" applyBorder="1" applyAlignment="1">
      <alignment horizontal="center" vertical="justify" textRotation="180"/>
    </xf>
    <xf numFmtId="179" fontId="2" fillId="0" borderId="0" xfId="4" applyNumberFormat="1" applyFont="1" applyFill="1" applyBorder="1" applyAlignment="1" applyProtection="1"/>
    <xf numFmtId="173" fontId="2" fillId="3" borderId="0" xfId="3" applyNumberFormat="1" applyFill="1"/>
    <xf numFmtId="169" fontId="2" fillId="3" borderId="0" xfId="3" applyNumberFormat="1" applyFill="1" applyAlignment="1" applyProtection="1">
      <alignment horizontal="right" vertical="top"/>
    </xf>
    <xf numFmtId="39" fontId="2" fillId="3" borderId="0" xfId="3" applyFill="1" applyAlignment="1">
      <alignment vertical="top"/>
    </xf>
    <xf numFmtId="169" fontId="2" fillId="0" borderId="0" xfId="3" applyNumberFormat="1" applyFill="1" applyAlignment="1" applyProtection="1">
      <alignment horizontal="right" vertical="top"/>
    </xf>
    <xf numFmtId="39" fontId="2" fillId="0" borderId="0" xfId="3" applyFill="1" applyBorder="1" applyAlignment="1" applyProtection="1">
      <alignment horizontal="centerContinuous" vertical="top"/>
    </xf>
    <xf numFmtId="179" fontId="2" fillId="0" borderId="4" xfId="4" applyNumberFormat="1" applyFont="1" applyFill="1" applyBorder="1" applyAlignment="1" applyProtection="1"/>
    <xf numFmtId="39" fontId="2" fillId="0" borderId="0" xfId="3" applyFill="1" applyAlignment="1">
      <alignment vertical="top"/>
    </xf>
    <xf numFmtId="39" fontId="2" fillId="0" borderId="3" xfId="3" applyFont="1" applyFill="1" applyBorder="1" applyAlignment="1" applyProtection="1">
      <alignment horizontal="centerContinuous" vertical="top"/>
    </xf>
    <xf numFmtId="173" fontId="2" fillId="0" borderId="0" xfId="3" applyNumberFormat="1" applyFill="1"/>
    <xf numFmtId="39" fontId="2" fillId="0" borderId="6" xfId="3" applyFill="1" applyBorder="1" applyAlignment="1" applyProtection="1">
      <alignment horizontal="centerContinuous" vertical="top"/>
    </xf>
    <xf numFmtId="179" fontId="2" fillId="0" borderId="6" xfId="4" applyNumberFormat="1" applyFont="1" applyFill="1" applyBorder="1" applyAlignment="1" applyProtection="1"/>
    <xf numFmtId="37" fontId="2" fillId="0" borderId="0" xfId="3" applyNumberFormat="1"/>
    <xf numFmtId="179" fontId="2" fillId="3" borderId="0" xfId="4" applyNumberFormat="1" applyFont="1" applyFill="1" applyBorder="1" applyAlignment="1" applyProtection="1"/>
    <xf numFmtId="180" fontId="2" fillId="0" borderId="0" xfId="3" applyNumberFormat="1" applyFill="1" applyAlignment="1" applyProtection="1">
      <alignment horizontal="right" vertical="top"/>
    </xf>
    <xf numFmtId="165" fontId="13" fillId="0" borderId="2" xfId="5" applyFont="1" applyFill="1" applyBorder="1" applyAlignment="1">
      <alignment horizontal="center" vertical="center"/>
    </xf>
    <xf numFmtId="39" fontId="2" fillId="0" borderId="0" xfId="3" applyFont="1"/>
    <xf numFmtId="179" fontId="2" fillId="0" borderId="0" xfId="4" applyNumberFormat="1" applyFont="1" applyFill="1" applyBorder="1" applyAlignment="1" applyProtection="1">
      <alignment vertical="top"/>
    </xf>
    <xf numFmtId="165" fontId="1" fillId="0" borderId="0" xfId="7" applyFont="1" applyBorder="1" applyAlignment="1">
      <alignment horizontal="center"/>
    </xf>
    <xf numFmtId="165" fontId="2" fillId="0" borderId="0" xfId="7" applyFill="1" applyBorder="1" applyAlignment="1">
      <alignment vertical="top"/>
    </xf>
    <xf numFmtId="165" fontId="2" fillId="0" borderId="0" xfId="7" applyFill="1" applyBorder="1"/>
    <xf numFmtId="167" fontId="2" fillId="0" borderId="0" xfId="7" applyNumberFormat="1" applyFill="1" applyBorder="1" applyProtection="1"/>
    <xf numFmtId="165" fontId="4" fillId="0" borderId="0" xfId="7" applyFont="1" applyBorder="1" applyAlignment="1">
      <alignment horizontal="centerContinuous"/>
    </xf>
    <xf numFmtId="165" fontId="3" fillId="0" borderId="0" xfId="7" applyFont="1" applyBorder="1" applyAlignment="1">
      <alignment horizontal="centerContinuous" vertical="top"/>
    </xf>
    <xf numFmtId="165" fontId="4" fillId="0" borderId="0" xfId="7" applyFont="1" applyBorder="1" applyAlignment="1" applyProtection="1">
      <alignment horizontal="centerContinuous"/>
    </xf>
    <xf numFmtId="165" fontId="3" fillId="0" borderId="0" xfId="7" applyFont="1" applyBorder="1" applyAlignment="1" applyProtection="1">
      <alignment horizontal="centerContinuous" vertical="top"/>
    </xf>
    <xf numFmtId="165" fontId="1" fillId="0" borderId="0" xfId="5" quotePrefix="1" applyFont="1" applyFill="1" applyBorder="1" applyAlignment="1" applyProtection="1">
      <alignment horizontal="center" vertical="top"/>
    </xf>
    <xf numFmtId="167" fontId="2" fillId="0" borderId="0" xfId="5" applyNumberFormat="1" applyFill="1" applyBorder="1" applyProtection="1"/>
    <xf numFmtId="175" fontId="2" fillId="0" borderId="0" xfId="5" applyNumberFormat="1" applyFill="1" applyBorder="1" applyAlignment="1">
      <alignment vertical="center"/>
    </xf>
    <xf numFmtId="174" fontId="2" fillId="0" borderId="0" xfId="5" applyNumberFormat="1" applyFill="1" applyBorder="1" applyAlignment="1" applyProtection="1"/>
    <xf numFmtId="174" fontId="2" fillId="0" borderId="0" xfId="5" applyNumberFormat="1" applyFill="1" applyBorder="1" applyAlignment="1" applyProtection="1">
      <alignment horizontal="right"/>
    </xf>
    <xf numFmtId="165" fontId="2" fillId="0" borderId="0" xfId="5" applyFill="1" applyBorder="1" applyAlignment="1">
      <alignment horizontal="centerContinuous"/>
    </xf>
    <xf numFmtId="165" fontId="3" fillId="0" borderId="6" xfId="7" applyFont="1" applyBorder="1" applyAlignment="1" applyProtection="1">
      <alignment horizontal="centerContinuous" vertical="top"/>
    </xf>
    <xf numFmtId="165" fontId="3" fillId="0" borderId="6" xfId="7" applyFont="1" applyBorder="1" applyAlignment="1">
      <alignment horizontal="centerContinuous" vertical="top"/>
    </xf>
    <xf numFmtId="175" fontId="2" fillId="0" borderId="0" xfId="5" applyNumberFormat="1" applyFont="1" applyFill="1" applyBorder="1" applyAlignment="1" applyProtection="1">
      <alignment horizontal="right"/>
    </xf>
    <xf numFmtId="175" fontId="2" fillId="0" borderId="6" xfId="5" applyNumberFormat="1" applyFont="1" applyFill="1" applyBorder="1" applyAlignment="1" applyProtection="1">
      <alignment horizontal="right"/>
    </xf>
    <xf numFmtId="165" fontId="13" fillId="0" borderId="2" xfId="5" applyFont="1" applyBorder="1" applyAlignment="1">
      <alignment horizontal="center" vertical="center"/>
    </xf>
    <xf numFmtId="165" fontId="2" fillId="0" borderId="2" xfId="5" applyFill="1" applyBorder="1" applyAlignment="1">
      <alignment vertical="center"/>
    </xf>
    <xf numFmtId="165" fontId="2" fillId="0" borderId="0" xfId="5" applyBorder="1" applyAlignment="1"/>
    <xf numFmtId="179" fontId="2" fillId="0" borderId="4" xfId="4" applyNumberFormat="1" applyFont="1" applyFill="1" applyBorder="1" applyAlignment="1" applyProtection="1">
      <alignment vertical="top"/>
    </xf>
    <xf numFmtId="0" fontId="0" fillId="0" borderId="2" xfId="0" applyBorder="1" applyAlignment="1">
      <alignment vertical="center"/>
    </xf>
    <xf numFmtId="39" fontId="2" fillId="0" borderId="0" xfId="3" applyAlignment="1">
      <alignment horizontal="right"/>
    </xf>
    <xf numFmtId="165" fontId="2" fillId="0" borderId="0" xfId="5" applyFont="1" applyBorder="1" applyAlignment="1" applyProtection="1">
      <alignment horizontal="left"/>
    </xf>
    <xf numFmtId="0" fontId="0" fillId="0" borderId="0" xfId="0" applyBorder="1" applyAlignment="1"/>
    <xf numFmtId="165" fontId="2" fillId="0" borderId="0" xfId="7" applyFont="1" applyBorder="1" applyAlignment="1">
      <alignment vertical="top"/>
    </xf>
    <xf numFmtId="165" fontId="13" fillId="0" borderId="8" xfId="7" applyFont="1" applyBorder="1" applyAlignment="1">
      <alignment horizontal="center"/>
    </xf>
    <xf numFmtId="165" fontId="1" fillId="0" borderId="4" xfId="7" applyFont="1" applyBorder="1" applyAlignment="1">
      <alignment horizontal="center"/>
    </xf>
    <xf numFmtId="165" fontId="7" fillId="0" borderId="0" xfId="7" applyFont="1" applyBorder="1" applyAlignment="1">
      <alignment horizontal="right"/>
    </xf>
    <xf numFmtId="165" fontId="2" fillId="0" borderId="0" xfId="7" applyFont="1" applyFill="1" applyBorder="1"/>
    <xf numFmtId="0" fontId="0" fillId="0" borderId="9" xfId="0" applyBorder="1" applyAlignment="1"/>
    <xf numFmtId="0" fontId="13" fillId="0" borderId="9" xfId="0" applyFont="1" applyBorder="1" applyAlignment="1"/>
    <xf numFmtId="0" fontId="0" fillId="0" borderId="1" xfId="0" applyFill="1" applyBorder="1" applyAlignment="1">
      <alignment horizontal="centerContinuous"/>
    </xf>
    <xf numFmtId="165" fontId="1" fillId="0" borderId="5" xfId="5" applyFont="1" applyFill="1" applyBorder="1" applyAlignment="1" applyProtection="1">
      <alignment horizontal="center" vertical="center"/>
    </xf>
    <xf numFmtId="175" fontId="2" fillId="0" borderId="3" xfId="5" applyNumberFormat="1" applyFill="1" applyBorder="1"/>
    <xf numFmtId="175" fontId="2" fillId="0" borderId="3" xfId="5" applyNumberFormat="1" applyFill="1" applyBorder="1" applyAlignment="1" applyProtection="1"/>
    <xf numFmtId="167" fontId="2" fillId="0" borderId="3" xfId="5" applyNumberFormat="1" applyFill="1" applyBorder="1" applyAlignment="1" applyProtection="1">
      <alignment horizontal="right"/>
    </xf>
    <xf numFmtId="167" fontId="2" fillId="0" borderId="5" xfId="5" applyNumberFormat="1" applyFill="1" applyBorder="1" applyAlignment="1" applyProtection="1">
      <alignment horizontal="right"/>
    </xf>
    <xf numFmtId="164" fontId="2" fillId="0" borderId="0" xfId="1" applyFill="1" applyBorder="1"/>
    <xf numFmtId="0" fontId="13" fillId="0" borderId="2" xfId="0" applyFont="1" applyBorder="1" applyAlignment="1">
      <alignment horizontal="center" vertical="center"/>
    </xf>
    <xf numFmtId="0" fontId="2" fillId="0" borderId="0" xfId="0" applyFont="1"/>
    <xf numFmtId="165" fontId="3" fillId="0" borderId="0" xfId="5" applyFont="1" applyBorder="1" applyAlignment="1">
      <alignment horizontal="right" textRotation="180"/>
    </xf>
    <xf numFmtId="165" fontId="7" fillId="0" borderId="0" xfId="5" applyFont="1" applyBorder="1" applyAlignment="1">
      <alignment horizontal="right" textRotation="180"/>
    </xf>
    <xf numFmtId="175" fontId="9" fillId="0" borderId="0" xfId="5" quotePrefix="1" applyNumberFormat="1" applyFont="1" applyFill="1" applyBorder="1" applyAlignment="1" applyProtection="1">
      <alignment horizontal="center" vertical="center"/>
    </xf>
    <xf numFmtId="165" fontId="13" fillId="0" borderId="9" xfId="5" applyFont="1" applyBorder="1" applyAlignment="1">
      <alignment horizontal="center" vertical="center"/>
    </xf>
    <xf numFmtId="165" fontId="3" fillId="0" borderId="0" xfId="5" applyFont="1" applyBorder="1" applyAlignment="1">
      <alignment horizontal="center" vertical="justify" textRotation="180"/>
    </xf>
    <xf numFmtId="183" fontId="1" fillId="0" borderId="6" xfId="5" applyNumberFormat="1" applyFont="1" applyFill="1" applyBorder="1" applyAlignment="1" applyProtection="1">
      <alignment horizontal="center" vertical="center"/>
    </xf>
    <xf numFmtId="14" fontId="1" fillId="0" borderId="6" xfId="5" applyNumberFormat="1" applyFont="1" applyFill="1" applyBorder="1" applyAlignment="1" applyProtection="1">
      <alignment horizontal="center" vertical="center"/>
    </xf>
    <xf numFmtId="175" fontId="2" fillId="4" borderId="0" xfId="5" applyNumberFormat="1" applyFill="1" applyBorder="1"/>
    <xf numFmtId="39" fontId="1" fillId="0" borderId="6" xfId="3" applyFont="1" applyBorder="1" applyAlignment="1" applyProtection="1">
      <alignment horizontal="center"/>
    </xf>
    <xf numFmtId="14" fontId="1" fillId="0" borderId="9" xfId="5" applyNumberFormat="1" applyFont="1" applyFill="1" applyBorder="1" applyAlignment="1" applyProtection="1">
      <alignment horizontal="center" vertical="center"/>
    </xf>
    <xf numFmtId="165" fontId="1" fillId="0" borderId="0" xfId="7" applyFont="1" applyBorder="1" applyAlignment="1" applyProtection="1">
      <alignment horizontal="center"/>
    </xf>
    <xf numFmtId="39" fontId="3" fillId="0" borderId="0" xfId="3" applyFont="1" applyBorder="1" applyAlignment="1">
      <alignment horizontal="centerContinuous" vertical="top"/>
    </xf>
    <xf numFmtId="39" fontId="2" fillId="0" borderId="0" xfId="3" applyFont="1" applyBorder="1" applyAlignment="1">
      <alignment horizontal="left"/>
    </xf>
    <xf numFmtId="39" fontId="3" fillId="0" borderId="0" xfId="3" applyFont="1" applyBorder="1" applyAlignment="1" applyProtection="1">
      <alignment horizontal="left" vertical="center"/>
    </xf>
    <xf numFmtId="165" fontId="1" fillId="0" borderId="2" xfId="5" applyFont="1" applyBorder="1" applyAlignment="1">
      <alignment horizontal="center" vertical="center"/>
    </xf>
    <xf numFmtId="165" fontId="3" fillId="0" borderId="0" xfId="5" applyFont="1" applyBorder="1" applyAlignment="1">
      <alignment horizontal="center" vertical="center" textRotation="180"/>
    </xf>
    <xf numFmtId="165" fontId="7" fillId="0" borderId="0" xfId="5" applyFont="1" applyBorder="1" applyAlignment="1">
      <alignment horizontal="center" vertical="center" textRotation="180"/>
    </xf>
    <xf numFmtId="165" fontId="3" fillId="0" borderId="0" xfId="5" applyFont="1" applyBorder="1" applyAlignment="1">
      <alignment horizontal="center" vertical="center" textRotation="180"/>
    </xf>
    <xf numFmtId="165" fontId="7" fillId="0" borderId="0" xfId="5" applyFont="1" applyBorder="1" applyAlignment="1">
      <alignment horizontal="center" vertical="center" textRotation="180"/>
    </xf>
    <xf numFmtId="165" fontId="3" fillId="0" borderId="0" xfId="5" applyFont="1" applyBorder="1" applyAlignment="1">
      <alignment horizontal="left" vertical="center" textRotation="180"/>
    </xf>
    <xf numFmtId="165" fontId="7" fillId="0" borderId="0" xfId="5" applyFont="1" applyBorder="1" applyAlignment="1">
      <alignment horizontal="left" vertical="center" textRotation="180"/>
    </xf>
    <xf numFmtId="165" fontId="3" fillId="0" borderId="0" xfId="5" applyFont="1" applyBorder="1" applyAlignment="1">
      <alignment horizontal="left" vertical="center" textRotation="180"/>
    </xf>
    <xf numFmtId="165" fontId="7" fillId="0" borderId="0" xfId="5" applyFont="1" applyBorder="1" applyAlignment="1">
      <alignment horizontal="left" vertical="center" textRotation="180"/>
    </xf>
    <xf numFmtId="39" fontId="3" fillId="0" borderId="0" xfId="3" applyFont="1" applyBorder="1" applyAlignment="1">
      <alignment horizontal="center" vertical="top"/>
    </xf>
    <xf numFmtId="165" fontId="3" fillId="0" borderId="0" xfId="5" applyFont="1" applyBorder="1" applyAlignment="1">
      <alignment horizontal="left" vertical="center" textRotation="180"/>
    </xf>
    <xf numFmtId="165" fontId="7" fillId="0" borderId="0" xfId="5" applyFont="1" applyBorder="1" applyAlignment="1">
      <alignment horizontal="left" vertical="center" textRotation="180"/>
    </xf>
    <xf numFmtId="39" fontId="2" fillId="0" borderId="0" xfId="3" applyFill="1"/>
    <xf numFmtId="39" fontId="3" fillId="0" borderId="0" xfId="4" applyFont="1" applyAlignment="1" applyProtection="1">
      <alignment horizontal="right" vertical="top"/>
    </xf>
    <xf numFmtId="165" fontId="2" fillId="0" borderId="8" xfId="5" applyFill="1" applyBorder="1" applyAlignment="1">
      <alignment vertical="center"/>
    </xf>
    <xf numFmtId="175" fontId="2" fillId="0" borderId="4" xfId="5" applyNumberFormat="1" applyFont="1" applyFill="1" applyBorder="1" applyAlignment="1" applyProtection="1">
      <alignment horizontal="right"/>
    </xf>
    <xf numFmtId="175" fontId="2" fillId="0" borderId="7" xfId="5" applyNumberFormat="1" applyFont="1" applyFill="1" applyBorder="1" applyAlignment="1" applyProtection="1">
      <alignment horizontal="right"/>
    </xf>
    <xf numFmtId="165" fontId="3" fillId="0" borderId="0" xfId="5" applyFont="1" applyBorder="1" applyAlignment="1">
      <alignment horizontal="left" vertical="center" textRotation="180"/>
    </xf>
    <xf numFmtId="165" fontId="7" fillId="0" borderId="0" xfId="5" applyFont="1" applyBorder="1" applyAlignment="1">
      <alignment horizontal="left" vertical="center" textRotation="180"/>
    </xf>
    <xf numFmtId="14" fontId="1" fillId="0" borderId="10" xfId="5" applyNumberFormat="1" applyFont="1" applyFill="1" applyBorder="1" applyAlignment="1" applyProtection="1">
      <alignment horizontal="center" vertical="center"/>
    </xf>
    <xf numFmtId="165" fontId="1" fillId="0" borderId="3" xfId="5" quotePrefix="1" applyFont="1" applyFill="1" applyBorder="1" applyAlignment="1" applyProtection="1">
      <alignment horizontal="left" wrapText="1"/>
    </xf>
    <xf numFmtId="165" fontId="1" fillId="0" borderId="3" xfId="5" applyFont="1" applyFill="1" applyBorder="1" applyAlignment="1" applyProtection="1">
      <alignment horizontal="left" wrapText="1"/>
    </xf>
    <xf numFmtId="39" fontId="2" fillId="0" borderId="0" xfId="3" applyFill="1" applyBorder="1"/>
    <xf numFmtId="165" fontId="19" fillId="0" borderId="0" xfId="5" applyFont="1"/>
    <xf numFmtId="165" fontId="19" fillId="0" borderId="0" xfId="5" applyFont="1" applyFill="1" applyBorder="1"/>
    <xf numFmtId="165" fontId="19" fillId="0" borderId="0" xfId="5" applyFont="1" applyBorder="1"/>
    <xf numFmtId="0" fontId="19" fillId="0" borderId="12" xfId="0" applyFont="1" applyFill="1" applyBorder="1"/>
    <xf numFmtId="165" fontId="19" fillId="0" borderId="0" xfId="5" applyFont="1" applyBorder="1" applyAlignment="1">
      <alignment vertical="center"/>
    </xf>
    <xf numFmtId="165" fontId="19" fillId="0" borderId="0" xfId="5" applyFont="1" applyFill="1" applyBorder="1" applyAlignment="1">
      <alignment vertical="center"/>
    </xf>
    <xf numFmtId="165" fontId="18" fillId="0" borderId="12" xfId="5" quotePrefix="1" applyFont="1" applyFill="1" applyBorder="1" applyAlignment="1" applyProtection="1">
      <alignment horizontal="left"/>
    </xf>
    <xf numFmtId="175" fontId="19" fillId="0" borderId="0" xfId="5" applyNumberFormat="1" applyFont="1" applyFill="1" applyBorder="1" applyAlignment="1">
      <alignment horizontal="right"/>
    </xf>
    <xf numFmtId="175" fontId="19" fillId="0" borderId="0" xfId="5" applyNumberFormat="1" applyFont="1" applyFill="1" applyBorder="1"/>
    <xf numFmtId="165" fontId="18" fillId="0" borderId="13" xfId="5" quotePrefix="1" applyFont="1" applyFill="1" applyBorder="1" applyAlignment="1" applyProtection="1">
      <alignment horizontal="left"/>
    </xf>
    <xf numFmtId="175" fontId="19" fillId="0" borderId="14" xfId="5" applyNumberFormat="1" applyFont="1" applyFill="1" applyBorder="1"/>
    <xf numFmtId="175" fontId="19" fillId="0" borderId="0" xfId="5" applyNumberFormat="1" applyFont="1" applyFill="1" applyBorder="1" applyAlignment="1" applyProtection="1">
      <alignment horizontal="right"/>
    </xf>
    <xf numFmtId="39" fontId="18" fillId="0" borderId="0" xfId="2" applyFont="1" applyAlignment="1">
      <alignment horizontal="right" vertical="center"/>
    </xf>
    <xf numFmtId="39" fontId="18" fillId="0" borderId="0" xfId="2" applyFont="1" applyBorder="1" applyAlignment="1">
      <alignment horizontal="right" vertical="center"/>
    </xf>
    <xf numFmtId="165" fontId="19" fillId="0" borderId="0" xfId="5" applyFont="1" applyAlignment="1">
      <alignment vertical="center"/>
    </xf>
    <xf numFmtId="165" fontId="4" fillId="0" borderId="0" xfId="5" quotePrefix="1" applyFont="1" applyFill="1" applyBorder="1" applyAlignment="1">
      <alignment horizontal="left" vertical="top" textRotation="180"/>
    </xf>
    <xf numFmtId="165" fontId="20" fillId="0" borderId="0" xfId="7" applyFont="1" applyBorder="1"/>
    <xf numFmtId="165" fontId="21" fillId="0" borderId="0" xfId="7" applyFont="1" applyBorder="1" applyAlignment="1">
      <alignment horizontal="centerContinuous"/>
    </xf>
    <xf numFmtId="165" fontId="22" fillId="0" borderId="0" xfId="7" applyFont="1" applyBorder="1" applyAlignment="1">
      <alignment horizontal="centerContinuous" vertical="top"/>
    </xf>
    <xf numFmtId="165" fontId="23" fillId="0" borderId="0" xfId="7" applyFont="1" applyBorder="1" applyAlignment="1" applyProtection="1">
      <alignment horizontal="center"/>
    </xf>
    <xf numFmtId="165" fontId="23" fillId="0" borderId="0" xfId="7" applyFont="1" applyBorder="1" applyAlignment="1">
      <alignment horizontal="center"/>
    </xf>
    <xf numFmtId="165" fontId="20" fillId="0" borderId="0" xfId="7" applyFont="1" applyFill="1" applyBorder="1"/>
    <xf numFmtId="176" fontId="20" fillId="0" borderId="0" xfId="7" applyNumberFormat="1" applyFont="1" applyBorder="1" applyAlignment="1" applyProtection="1">
      <alignment vertical="top"/>
    </xf>
    <xf numFmtId="165" fontId="20" fillId="0" borderId="0" xfId="7" applyFont="1"/>
    <xf numFmtId="165" fontId="20" fillId="0" borderId="0" xfId="7" applyFont="1" applyAlignment="1" applyProtection="1">
      <alignment horizontal="left"/>
    </xf>
    <xf numFmtId="39" fontId="20" fillId="0" borderId="0" xfId="3" applyFont="1"/>
    <xf numFmtId="39" fontId="1" fillId="0" borderId="7" xfId="3" applyFont="1" applyBorder="1" applyAlignment="1">
      <alignment horizontal="center" vertical="top"/>
    </xf>
    <xf numFmtId="39" fontId="2" fillId="0" borderId="0" xfId="3" applyFill="1" applyBorder="1" applyAlignment="1">
      <alignment vertical="top"/>
    </xf>
    <xf numFmtId="181" fontId="20" fillId="0" borderId="0" xfId="3" applyNumberFormat="1" applyFont="1" applyAlignment="1">
      <alignment vertical="top"/>
    </xf>
    <xf numFmtId="39" fontId="20" fillId="0" borderId="0" xfId="3" applyFont="1" applyAlignment="1">
      <alignment horizontal="right"/>
    </xf>
    <xf numFmtId="181" fontId="26" fillId="0" borderId="0" xfId="3" applyNumberFormat="1" applyFont="1" applyAlignment="1">
      <alignment vertical="top"/>
    </xf>
    <xf numFmtId="39" fontId="25" fillId="0" borderId="0" xfId="3" applyFont="1" applyBorder="1" applyAlignment="1">
      <alignment horizontal="left"/>
    </xf>
    <xf numFmtId="39" fontId="25" fillId="0" borderId="0" xfId="3" applyFont="1" applyBorder="1" applyAlignment="1" applyProtection="1">
      <alignment horizontal="left"/>
    </xf>
    <xf numFmtId="39" fontId="25" fillId="0" borderId="0" xfId="3" applyFont="1" applyBorder="1"/>
    <xf numFmtId="179" fontId="25" fillId="0" borderId="0" xfId="4" applyNumberFormat="1" applyFont="1" applyFill="1" applyBorder="1" applyAlignment="1" applyProtection="1">
      <alignment vertical="top"/>
    </xf>
    <xf numFmtId="39" fontId="25" fillId="0" borderId="0" xfId="3" applyFont="1" applyFill="1"/>
    <xf numFmtId="165" fontId="25" fillId="0" borderId="0" xfId="5" applyFont="1" applyAlignment="1" applyProtection="1">
      <alignment horizontal="left"/>
    </xf>
    <xf numFmtId="165" fontId="25" fillId="0" borderId="0" xfId="7" applyFont="1" applyAlignment="1">
      <alignment vertical="top"/>
    </xf>
    <xf numFmtId="175" fontId="27" fillId="0" borderId="0" xfId="5" applyNumberFormat="1" applyFont="1" applyFill="1" applyBorder="1"/>
    <xf numFmtId="175" fontId="28" fillId="0" borderId="0" xfId="5" applyNumberFormat="1" applyFont="1" applyFill="1" applyBorder="1"/>
    <xf numFmtId="165" fontId="1" fillId="0" borderId="3" xfId="7" applyFont="1" applyFill="1" applyBorder="1" applyAlignment="1" applyProtection="1">
      <alignment horizontal="center"/>
    </xf>
    <xf numFmtId="165" fontId="1" fillId="0" borderId="3" xfId="7" applyFont="1" applyBorder="1" applyAlignment="1" applyProtection="1">
      <alignment horizontal="center"/>
    </xf>
    <xf numFmtId="174" fontId="2" fillId="0" borderId="0" xfId="7" applyNumberFormat="1" applyBorder="1" applyAlignment="1" applyProtection="1">
      <alignment horizontal="center" vertical="center"/>
    </xf>
    <xf numFmtId="1" fontId="2" fillId="0" borderId="4" xfId="7" applyNumberFormat="1" applyBorder="1" applyAlignment="1" applyProtection="1">
      <alignment horizontal="center" vertical="center"/>
    </xf>
    <xf numFmtId="174" fontId="2" fillId="0" borderId="0" xfId="7" applyNumberFormat="1" applyFont="1" applyBorder="1" applyAlignment="1" applyProtection="1">
      <alignment horizontal="center" vertical="center"/>
    </xf>
    <xf numFmtId="3" fontId="2" fillId="0" borderId="0" xfId="7" applyNumberFormat="1" applyBorder="1" applyAlignment="1" applyProtection="1">
      <alignment horizontal="center" vertical="center"/>
    </xf>
    <xf numFmtId="3" fontId="2" fillId="0" borderId="4" xfId="7" applyNumberFormat="1" applyFont="1" applyBorder="1" applyAlignment="1" applyProtection="1">
      <alignment horizontal="center" vertical="center"/>
    </xf>
    <xf numFmtId="174" fontId="2" fillId="0" borderId="0" xfId="7" applyNumberFormat="1" applyFont="1" applyFill="1" applyBorder="1" applyAlignment="1" applyProtection="1">
      <alignment horizontal="center" vertical="center"/>
    </xf>
    <xf numFmtId="3" fontId="2" fillId="0" borderId="4" xfId="7" applyNumberFormat="1" applyFont="1" applyFill="1" applyBorder="1" applyAlignment="1" applyProtection="1">
      <alignment horizontal="center" vertical="center"/>
    </xf>
    <xf numFmtId="174" fontId="0" fillId="0" borderId="0" xfId="0" applyNumberFormat="1" applyFill="1" applyBorder="1" applyAlignment="1">
      <alignment horizontal="center" vertical="center"/>
    </xf>
    <xf numFmtId="174" fontId="2" fillId="0" borderId="0" xfId="0" applyNumberFormat="1" applyFont="1" applyFill="1" applyBorder="1" applyAlignment="1">
      <alignment horizontal="center" vertical="center"/>
    </xf>
    <xf numFmtId="3" fontId="2" fillId="0" borderId="0" xfId="7" applyNumberFormat="1" applyFont="1" applyFill="1" applyBorder="1" applyAlignment="1" applyProtection="1">
      <alignment horizontal="center" vertical="center"/>
    </xf>
    <xf numFmtId="3" fontId="2" fillId="0" borderId="0" xfId="7" quotePrefix="1" applyNumberFormat="1" applyFont="1" applyFill="1" applyBorder="1" applyAlignment="1" applyProtection="1">
      <alignment horizontal="center" vertical="center"/>
    </xf>
    <xf numFmtId="3" fontId="2" fillId="0" borderId="4" xfId="7" quotePrefix="1" applyNumberFormat="1" applyFont="1" applyFill="1" applyBorder="1" applyAlignment="1" applyProtection="1">
      <alignment horizontal="center" vertical="center"/>
    </xf>
    <xf numFmtId="3" fontId="17" fillId="0" borderId="4" xfId="7" quotePrefix="1" applyNumberFormat="1" applyFont="1" applyFill="1" applyBorder="1" applyAlignment="1" applyProtection="1">
      <alignment horizontal="center" vertical="center"/>
    </xf>
    <xf numFmtId="39" fontId="3" fillId="0" borderId="0" xfId="2" applyFont="1" applyAlignment="1" applyProtection="1">
      <alignment horizontal="center" vertical="top"/>
    </xf>
    <xf numFmtId="169" fontId="1" fillId="0" borderId="1" xfId="2" applyNumberFormat="1" applyFont="1" applyBorder="1" applyAlignment="1" applyProtection="1">
      <alignment horizontal="center"/>
    </xf>
    <xf numFmtId="165" fontId="18" fillId="0" borderId="15" xfId="5" applyFont="1" applyFill="1" applyBorder="1" applyAlignment="1" applyProtection="1">
      <alignment horizontal="centerContinuous" vertical="top"/>
    </xf>
    <xf numFmtId="1" fontId="18" fillId="0" borderId="16" xfId="5" applyNumberFormat="1" applyFont="1" applyFill="1" applyBorder="1" applyAlignment="1" applyProtection="1">
      <alignment horizontal="center" vertical="center"/>
    </xf>
    <xf numFmtId="14" fontId="18" fillId="0" borderId="16" xfId="5" quotePrefix="1" applyNumberFormat="1" applyFont="1" applyFill="1" applyBorder="1" applyAlignment="1" applyProtection="1">
      <alignment horizontal="center" vertical="center"/>
    </xf>
    <xf numFmtId="39" fontId="0" fillId="0" borderId="3" xfId="10" quotePrefix="1" applyFont="1" applyFill="1" applyBorder="1" applyAlignment="1">
      <alignment horizontal="centerContinuous" vertical="center"/>
    </xf>
    <xf numFmtId="39" fontId="1" fillId="0" borderId="1" xfId="3" applyFont="1" applyBorder="1" applyAlignment="1" applyProtection="1">
      <alignment horizontal="center"/>
    </xf>
    <xf numFmtId="39" fontId="3" fillId="0" borderId="0" xfId="3" applyFont="1" applyBorder="1" applyAlignment="1" applyProtection="1">
      <alignment horizontal="center" vertical="top"/>
    </xf>
    <xf numFmtId="39" fontId="2" fillId="0" borderId="5" xfId="3" applyBorder="1" applyAlignment="1">
      <alignment horizontal="center"/>
    </xf>
    <xf numFmtId="39" fontId="0" fillId="0" borderId="3" xfId="10" quotePrefix="1" applyFont="1" applyFill="1" applyBorder="1" applyAlignment="1">
      <alignment horizontal="center" vertical="center"/>
    </xf>
    <xf numFmtId="39" fontId="2" fillId="0" borderId="0" xfId="3" applyAlignment="1">
      <alignment horizontal="center"/>
    </xf>
    <xf numFmtId="39" fontId="3" fillId="0" borderId="0" xfId="4" applyFont="1" applyAlignment="1" applyProtection="1">
      <alignment horizontal="center" vertical="center"/>
    </xf>
    <xf numFmtId="39" fontId="3" fillId="0" borderId="0" xfId="4" applyFont="1" applyAlignment="1" applyProtection="1">
      <alignment horizontal="center" vertical="top"/>
    </xf>
    <xf numFmtId="39" fontId="2" fillId="0" borderId="0" xfId="2" applyFont="1"/>
    <xf numFmtId="39" fontId="2" fillId="0" borderId="0" xfId="2" applyFont="1" applyBorder="1"/>
    <xf numFmtId="39" fontId="2" fillId="0" borderId="0" xfId="2" applyFont="1" applyAlignment="1">
      <alignment horizontal="center"/>
    </xf>
    <xf numFmtId="39" fontId="2" fillId="0" borderId="5" xfId="2" applyFont="1" applyBorder="1" applyAlignment="1">
      <alignment horizontal="center"/>
    </xf>
    <xf numFmtId="2" fontId="2" fillId="0" borderId="0" xfId="2" applyNumberFormat="1" applyFont="1"/>
    <xf numFmtId="2" fontId="2" fillId="0" borderId="0" xfId="2" applyNumberFormat="1" applyFont="1" applyBorder="1"/>
    <xf numFmtId="39" fontId="2" fillId="0" borderId="3" xfId="2" applyFont="1" applyBorder="1"/>
    <xf numFmtId="39" fontId="2" fillId="0" borderId="0" xfId="2" applyFont="1" applyBorder="1" applyAlignment="1">
      <alignment vertical="top"/>
    </xf>
    <xf numFmtId="2" fontId="2" fillId="0" borderId="0" xfId="2" applyNumberFormat="1" applyFont="1" applyAlignment="1">
      <alignment vertical="top"/>
    </xf>
    <xf numFmtId="39" fontId="2" fillId="0" borderId="0" xfId="2" applyFont="1" applyAlignment="1">
      <alignment vertical="top"/>
    </xf>
    <xf numFmtId="2" fontId="2" fillId="0" borderId="0" xfId="2" applyNumberFormat="1" applyFont="1" applyBorder="1" applyAlignment="1">
      <alignment vertical="top"/>
    </xf>
    <xf numFmtId="39" fontId="2" fillId="0" borderId="0" xfId="2" applyFont="1" applyFill="1" applyBorder="1"/>
    <xf numFmtId="39" fontId="2" fillId="0" borderId="0" xfId="2" applyFont="1" applyFill="1"/>
    <xf numFmtId="39" fontId="2" fillId="0" borderId="3" xfId="2" applyFont="1" applyFill="1" applyBorder="1"/>
    <xf numFmtId="170" fontId="2" fillId="0" borderId="0" xfId="2" applyNumberFormat="1" applyFont="1" applyBorder="1" applyAlignment="1" applyProtection="1">
      <alignment horizontal="right"/>
    </xf>
    <xf numFmtId="39" fontId="2" fillId="0" borderId="0" xfId="2" applyFont="1" applyAlignment="1"/>
    <xf numFmtId="168" fontId="2" fillId="0" borderId="0" xfId="2" applyNumberFormat="1" applyFont="1" applyProtection="1"/>
    <xf numFmtId="39" fontId="25" fillId="0" borderId="0" xfId="3" applyFont="1" applyBorder="1" applyAlignment="1"/>
    <xf numFmtId="39" fontId="25" fillId="0" borderId="0" xfId="3" applyFont="1" applyBorder="1" applyAlignment="1" applyProtection="1"/>
    <xf numFmtId="181" fontId="20" fillId="0" borderId="0" xfId="3" applyNumberFormat="1" applyFont="1" applyBorder="1" applyAlignment="1">
      <alignment vertical="top"/>
    </xf>
    <xf numFmtId="49" fontId="1" fillId="0" borderId="3" xfId="3" applyNumberFormat="1" applyFont="1" applyBorder="1" applyAlignment="1" applyProtection="1">
      <alignment horizontal="center" vertical="center"/>
    </xf>
    <xf numFmtId="165" fontId="2" fillId="0" borderId="0" xfId="7" applyFill="1" applyBorder="1" applyAlignment="1">
      <alignment vertical="center"/>
    </xf>
    <xf numFmtId="174" fontId="20" fillId="0" borderId="0" xfId="7" applyNumberFormat="1" applyFont="1" applyBorder="1" applyAlignment="1" applyProtection="1">
      <alignment horizontal="center" vertical="center"/>
    </xf>
    <xf numFmtId="165" fontId="2" fillId="0" borderId="0" xfId="7" applyAlignment="1">
      <alignment vertical="center"/>
    </xf>
    <xf numFmtId="165" fontId="1" fillId="0" borderId="3" xfId="7" applyFont="1" applyBorder="1" applyAlignment="1" applyProtection="1">
      <alignment horizontal="center" vertical="center"/>
    </xf>
    <xf numFmtId="165" fontId="1" fillId="0" borderId="3" xfId="7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174" fontId="20" fillId="0" borderId="0" xfId="7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2" fontId="20" fillId="0" borderId="0" xfId="7" applyNumberFormat="1" applyFont="1" applyFill="1" applyBorder="1" applyAlignment="1" applyProtection="1">
      <alignment horizontal="center" vertical="center"/>
    </xf>
    <xf numFmtId="184" fontId="0" fillId="0" borderId="0" xfId="1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182" fontId="2" fillId="0" borderId="0" xfId="7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vertical="center"/>
    </xf>
    <xf numFmtId="165" fontId="2" fillId="0" borderId="0" xfId="11" applyFont="1" applyBorder="1" applyProtection="1">
      <protection locked="0"/>
    </xf>
    <xf numFmtId="165" fontId="19" fillId="0" borderId="17" xfId="5" applyFont="1" applyFill="1" applyBorder="1" applyAlignment="1">
      <alignment vertical="center"/>
    </xf>
    <xf numFmtId="165" fontId="2" fillId="0" borderId="2" xfId="7" applyBorder="1"/>
    <xf numFmtId="39" fontId="20" fillId="0" borderId="0" xfId="3" applyFont="1" applyBorder="1"/>
    <xf numFmtId="165" fontId="5" fillId="0" borderId="0" xfId="11" applyFont="1" applyBorder="1" applyProtection="1">
      <protection locked="0"/>
    </xf>
    <xf numFmtId="39" fontId="0" fillId="0" borderId="3" xfId="10" quotePrefix="1" applyFont="1" applyFill="1" applyBorder="1" applyAlignment="1">
      <alignment horizontal="center"/>
    </xf>
    <xf numFmtId="179" fontId="17" fillId="0" borderId="0" xfId="4" applyNumberFormat="1" applyFont="1" applyFill="1" applyBorder="1" applyAlignment="1" applyProtection="1"/>
    <xf numFmtId="179" fontId="17" fillId="0" borderId="6" xfId="4" applyNumberFormat="1" applyFont="1" applyFill="1" applyBorder="1" applyAlignment="1" applyProtection="1"/>
    <xf numFmtId="179" fontId="2" fillId="0" borderId="7" xfId="4" applyNumberFormat="1" applyFont="1" applyFill="1" applyBorder="1" applyAlignment="1" applyProtection="1"/>
    <xf numFmtId="39" fontId="0" fillId="0" borderId="6" xfId="10" quotePrefix="1" applyFont="1" applyFill="1" applyBorder="1" applyAlignment="1">
      <alignment horizontal="center"/>
    </xf>
    <xf numFmtId="39" fontId="25" fillId="0" borderId="0" xfId="3" applyFont="1" applyFill="1" applyBorder="1"/>
    <xf numFmtId="165" fontId="18" fillId="0" borderId="0" xfId="5" quotePrefix="1" applyFont="1" applyFill="1" applyBorder="1" applyAlignment="1">
      <alignment horizontal="center" wrapText="1"/>
    </xf>
    <xf numFmtId="39" fontId="0" fillId="0" borderId="0" xfId="1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39" fontId="2" fillId="0" borderId="0" xfId="10" quotePrefix="1" applyFont="1" applyFill="1" applyBorder="1" applyAlignment="1">
      <alignment horizontal="center" vertical="center"/>
    </xf>
    <xf numFmtId="39" fontId="2" fillId="0" borderId="6" xfId="10" quotePrefix="1" applyFont="1" applyFill="1" applyBorder="1" applyAlignment="1">
      <alignment horizontal="center" vertical="center"/>
    </xf>
    <xf numFmtId="174" fontId="2" fillId="0" borderId="6" xfId="0" applyNumberFormat="1" applyFont="1" applyFill="1" applyBorder="1" applyAlignment="1">
      <alignment horizontal="center" vertical="center"/>
    </xf>
    <xf numFmtId="3" fontId="2" fillId="0" borderId="6" xfId="7" quotePrefix="1" applyNumberFormat="1" applyFont="1" applyFill="1" applyBorder="1" applyAlignment="1" applyProtection="1">
      <alignment horizontal="center" vertical="center"/>
    </xf>
    <xf numFmtId="3" fontId="17" fillId="0" borderId="7" xfId="7" quotePrefix="1" applyNumberFormat="1" applyFont="1" applyFill="1" applyBorder="1" applyAlignment="1" applyProtection="1">
      <alignment horizontal="center" vertical="center"/>
    </xf>
    <xf numFmtId="39" fontId="0" fillId="0" borderId="0" xfId="10" quotePrefix="1" applyFont="1" applyFill="1" applyBorder="1" applyAlignment="1">
      <alignment horizontal="center"/>
    </xf>
    <xf numFmtId="165" fontId="2" fillId="0" borderId="3" xfId="7" applyFont="1" applyFill="1" applyBorder="1" applyAlignment="1" applyProtection="1">
      <alignment horizontal="center" vertical="center"/>
    </xf>
    <xf numFmtId="179" fontId="2" fillId="0" borderId="8" xfId="4" applyNumberFormat="1" applyFont="1" applyFill="1" applyBorder="1" applyAlignment="1" applyProtection="1"/>
    <xf numFmtId="185" fontId="20" fillId="0" borderId="0" xfId="3" applyNumberFormat="1" applyFont="1" applyAlignment="1">
      <alignment horizontal="right"/>
    </xf>
    <xf numFmtId="185" fontId="20" fillId="0" borderId="0" xfId="3" applyNumberFormat="1" applyFont="1" applyAlignment="1">
      <alignment vertical="top"/>
    </xf>
    <xf numFmtId="185" fontId="20" fillId="0" borderId="0" xfId="3" applyNumberFormat="1" applyFont="1" applyBorder="1" applyAlignment="1">
      <alignment vertical="top"/>
    </xf>
    <xf numFmtId="185" fontId="20" fillId="0" borderId="3" xfId="3" applyNumberFormat="1" applyFont="1" applyBorder="1" applyAlignment="1">
      <alignment vertical="top"/>
    </xf>
    <xf numFmtId="186" fontId="2" fillId="0" borderId="0" xfId="2" applyNumberFormat="1" applyFont="1" applyAlignment="1">
      <alignment vertical="top"/>
    </xf>
    <xf numFmtId="175" fontId="29" fillId="0" borderId="0" xfId="5" applyNumberFormat="1" applyFont="1" applyFill="1" applyBorder="1" applyAlignment="1">
      <alignment horizontal="right"/>
    </xf>
    <xf numFmtId="175" fontId="27" fillId="0" borderId="14" xfId="5" applyNumberFormat="1" applyFont="1" applyFill="1" applyBorder="1"/>
    <xf numFmtId="175" fontId="18" fillId="0" borderId="0" xfId="5" applyNumberFormat="1" applyFont="1" applyFill="1" applyBorder="1"/>
    <xf numFmtId="175" fontId="18" fillId="0" borderId="0" xfId="5" applyNumberFormat="1" applyFont="1" applyFill="1" applyBorder="1" applyAlignment="1">
      <alignment horizontal="left"/>
    </xf>
    <xf numFmtId="14" fontId="18" fillId="0" borderId="19" xfId="5" quotePrefix="1" applyNumberFormat="1" applyFont="1" applyFill="1" applyBorder="1" applyAlignment="1" applyProtection="1">
      <alignment horizontal="center" vertical="center"/>
    </xf>
    <xf numFmtId="165" fontId="2" fillId="0" borderId="20" xfId="5" applyBorder="1" applyAlignment="1">
      <alignment vertical="center"/>
    </xf>
    <xf numFmtId="175" fontId="19" fillId="0" borderId="20" xfId="5" applyNumberFormat="1" applyFont="1" applyFill="1" applyBorder="1" applyAlignment="1">
      <alignment horizontal="right"/>
    </xf>
    <xf numFmtId="165" fontId="2" fillId="0" borderId="20" xfId="5" applyBorder="1"/>
    <xf numFmtId="175" fontId="19" fillId="0" borderId="20" xfId="5" applyNumberFormat="1" applyFont="1" applyFill="1" applyBorder="1"/>
    <xf numFmtId="175" fontId="19" fillId="0" borderId="18" xfId="5" applyNumberFormat="1" applyFont="1" applyFill="1" applyBorder="1"/>
    <xf numFmtId="175" fontId="19" fillId="0" borderId="21" xfId="5" applyNumberFormat="1" applyFont="1" applyFill="1" applyBorder="1"/>
    <xf numFmtId="179" fontId="2" fillId="0" borderId="2" xfId="4" applyNumberFormat="1" applyFont="1" applyFill="1" applyBorder="1" applyAlignment="1" applyProtection="1"/>
    <xf numFmtId="182" fontId="2" fillId="0" borderId="0" xfId="7" applyNumberFormat="1" applyFont="1" applyFill="1" applyBorder="1" applyAlignment="1" applyProtection="1">
      <alignment horizontal="center" vertical="center"/>
    </xf>
    <xf numFmtId="165" fontId="20" fillId="0" borderId="0" xfId="7" applyFont="1" applyFill="1" applyBorder="1" applyAlignment="1">
      <alignment vertical="center"/>
    </xf>
    <xf numFmtId="39" fontId="1" fillId="0" borderId="3" xfId="4" quotePrefix="1" applyNumberFormat="1" applyFont="1" applyBorder="1" applyAlignment="1" applyProtection="1">
      <alignment horizontal="center"/>
    </xf>
    <xf numFmtId="39" fontId="1" fillId="0" borderId="0" xfId="4" quotePrefix="1" applyNumberFormat="1" applyFont="1" applyBorder="1" applyAlignment="1" applyProtection="1">
      <alignment horizontal="center"/>
    </xf>
    <xf numFmtId="39" fontId="4" fillId="0" borderId="0" xfId="3" applyFont="1" applyBorder="1" applyAlignment="1" applyProtection="1">
      <alignment horizontal="center"/>
    </xf>
    <xf numFmtId="39" fontId="4" fillId="0" borderId="0" xfId="4" applyFont="1" applyAlignment="1" applyProtection="1">
      <alignment horizontal="center"/>
    </xf>
    <xf numFmtId="39" fontId="3" fillId="0" borderId="0" xfId="2" applyFont="1" applyAlignment="1">
      <alignment horizontal="center" vertical="top" wrapText="1"/>
    </xf>
    <xf numFmtId="39" fontId="4" fillId="0" borderId="0" xfId="2" applyFont="1" applyAlignment="1">
      <alignment horizontal="center"/>
    </xf>
    <xf numFmtId="165" fontId="3" fillId="0" borderId="0" xfId="5" applyFont="1" applyBorder="1" applyAlignment="1">
      <alignment horizontal="center" vertical="justify" textRotation="180"/>
    </xf>
    <xf numFmtId="175" fontId="9" fillId="0" borderId="0" xfId="5" quotePrefix="1" applyNumberFormat="1" applyFont="1" applyFill="1" applyBorder="1" applyAlignment="1" applyProtection="1">
      <alignment horizontal="center" vertical="center"/>
    </xf>
    <xf numFmtId="165" fontId="4" fillId="0" borderId="0" xfId="5" quotePrefix="1" applyFont="1" applyFill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65" fontId="13" fillId="0" borderId="9" xfId="5" applyFont="1" applyFill="1" applyBorder="1" applyAlignment="1">
      <alignment horizontal="center" vertical="center"/>
    </xf>
    <xf numFmtId="165" fontId="13" fillId="0" borderId="10" xfId="5" applyFont="1" applyFill="1" applyBorder="1" applyAlignment="1">
      <alignment horizontal="center" vertical="center"/>
    </xf>
    <xf numFmtId="165" fontId="1" fillId="0" borderId="9" xfId="5" applyFont="1" applyFill="1" applyBorder="1" applyAlignment="1">
      <alignment horizontal="center" vertical="center"/>
    </xf>
    <xf numFmtId="165" fontId="4" fillId="0" borderId="0" xfId="5" quotePrefix="1" applyFont="1" applyAlignment="1">
      <alignment horizontal="center"/>
    </xf>
    <xf numFmtId="0" fontId="1" fillId="0" borderId="9" xfId="0" applyFont="1" applyBorder="1" applyAlignment="1">
      <alignment horizontal="center"/>
    </xf>
    <xf numFmtId="175" fontId="9" fillId="0" borderId="0" xfId="5" quotePrefix="1" applyNumberFormat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165" fontId="4" fillId="0" borderId="0" xfId="5" applyFont="1" applyAlignment="1">
      <alignment horizontal="center"/>
    </xf>
    <xf numFmtId="0" fontId="4" fillId="0" borderId="0" xfId="6" applyFont="1" applyAlignment="1">
      <alignment horizontal="center" vertical="center"/>
    </xf>
    <xf numFmtId="165" fontId="1" fillId="0" borderId="9" xfId="5" applyFont="1" applyBorder="1" applyAlignment="1">
      <alignment horizontal="center" vertical="center"/>
    </xf>
    <xf numFmtId="165" fontId="4" fillId="0" borderId="0" xfId="5" quotePrefix="1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5" fontId="13" fillId="0" borderId="9" xfId="5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39" fontId="3" fillId="0" borderId="0" xfId="2" applyFont="1" applyAlignment="1">
      <alignment horizontal="left" vertical="center" textRotation="180"/>
    </xf>
    <xf numFmtId="165" fontId="3" fillId="0" borderId="0" xfId="5" applyFont="1" applyBorder="1" applyAlignment="1">
      <alignment horizontal="left" vertical="center" textRotation="180"/>
    </xf>
    <xf numFmtId="165" fontId="7" fillId="0" borderId="0" xfId="5" applyFont="1" applyBorder="1" applyAlignment="1">
      <alignment horizontal="left" vertical="center" textRotation="180"/>
    </xf>
    <xf numFmtId="165" fontId="3" fillId="0" borderId="0" xfId="5" applyFont="1" applyBorder="1" applyAlignment="1">
      <alignment horizontal="center" vertical="center" textRotation="180"/>
    </xf>
    <xf numFmtId="165" fontId="7" fillId="0" borderId="0" xfId="5" applyFont="1" applyBorder="1" applyAlignment="1">
      <alignment horizontal="center" vertical="center" textRotation="180"/>
    </xf>
    <xf numFmtId="175" fontId="9" fillId="0" borderId="3" xfId="5" quotePrefix="1" applyNumberFormat="1" applyFont="1" applyFill="1" applyBorder="1" applyAlignment="1" applyProtection="1">
      <alignment horizontal="center" vertical="center"/>
    </xf>
    <xf numFmtId="165" fontId="7" fillId="0" borderId="0" xfId="5" applyFont="1" applyBorder="1" applyAlignment="1">
      <alignment horizontal="center" textRotation="180"/>
    </xf>
    <xf numFmtId="165" fontId="7" fillId="0" borderId="0" xfId="5" applyFont="1" applyBorder="1" applyAlignment="1">
      <alignment horizontal="right" textRotation="180"/>
    </xf>
    <xf numFmtId="165" fontId="13" fillId="0" borderId="9" xfId="5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0" borderId="9" xfId="5" applyFont="1" applyFill="1" applyBorder="1" applyAlignment="1">
      <alignment horizontal="center" vertical="center" wrapText="1"/>
    </xf>
    <xf numFmtId="165" fontId="1" fillId="0" borderId="10" xfId="5" applyFont="1" applyFill="1" applyBorder="1" applyAlignment="1">
      <alignment horizontal="center" vertical="center" wrapText="1"/>
    </xf>
    <xf numFmtId="165" fontId="18" fillId="0" borderId="0" xfId="5" quotePrefix="1" applyFont="1" applyFill="1" applyBorder="1" applyAlignment="1">
      <alignment horizontal="center" wrapText="1"/>
    </xf>
  </cellXfs>
  <cellStyles count="12">
    <cellStyle name="Comma" xfId="1" builtinId="3"/>
    <cellStyle name="Normal" xfId="0" builtinId="0"/>
    <cellStyle name="Normal_A_MS" xfId="10"/>
    <cellStyle name="Normal_D_AGRUV" xfId="2"/>
    <cellStyle name="Normal_D_AGRVA" xfId="3"/>
    <cellStyle name="Normal_D_AGRVO" xfId="4"/>
    <cellStyle name="Normal_D_CPI_H" xfId="5"/>
    <cellStyle name="Normal_D_CPI_U" xfId="6"/>
    <cellStyle name="Normal_D_IND" xfId="7"/>
    <cellStyle name="Normal_D_MANUF" xfId="8"/>
    <cellStyle name="Normal_MKT_IND" xfId="9"/>
    <cellStyle name="Normal_TABLE3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DATABASE/REAL%20SECTOR/2-7.%20Domestic%20Activity/2.%20Agriculture/2.1.1%20Talamahu/Tal_mkt_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SVR-01\Economic\Core%20Data\Real%20Sector\Consumer%20Price%20Index\Database\Price%20-%20n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Consumer%20Price%20Index/Database/Price%20-%202021%20base%20ye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Secondary%20Sector/Energy%20Prices/Energy%20pric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Services%20Sector/Container%20Registrations/Container%20Registration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Services%20Sector/Vehicle%20Registrations/Vehicle%20Registration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Primary%20Sector/Fisheries/Marine%20Ex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Primary%20Sector/Agriculture/Agricultural%20Exports/Quarantin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re%20Data/Real%20Sector/Primary%20Sector/Agriculture/Domestic%20Agricultural%20Markets/Domestic%20Agricultural%20Marke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DATABASE/CPI/Archive/CPI_H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DATABASE/CPI/Archive/CPI_84/CPI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_94(R)"/>
      <sheetName val="Bul_ann"/>
      <sheetName val="Exports vs Tal.Market"/>
      <sheetName val="Ei_Real"/>
      <sheetName val="Ei_Real(T)"/>
      <sheetName val="C_Ag"/>
      <sheetName val="C_Root1_value"/>
      <sheetName val="C_Root2_price"/>
      <sheetName val="C_melon"/>
      <sheetName val="C_banana"/>
      <sheetName val="C_Fruit"/>
      <sheetName val="C_Vege"/>
      <sheetName val="Tal_mkt_2000"/>
    </sheetNames>
    <sheetDataSet>
      <sheetData sheetId="0">
        <row r="13">
          <cell r="C13">
            <v>288.34999999999997</v>
          </cell>
          <cell r="D13">
            <v>533.01</v>
          </cell>
          <cell r="E13">
            <v>775.62</v>
          </cell>
          <cell r="F13">
            <v>766.49</v>
          </cell>
          <cell r="G13">
            <v>344.31</v>
          </cell>
          <cell r="H13">
            <v>304.02000000000004</v>
          </cell>
          <cell r="I13">
            <v>539.32799999999997</v>
          </cell>
          <cell r="J13">
            <v>760.41599999999994</v>
          </cell>
          <cell r="K13">
            <v>344.45000000000005</v>
          </cell>
          <cell r="L13">
            <v>390.83</v>
          </cell>
          <cell r="M13">
            <v>610.13</v>
          </cell>
          <cell r="N13">
            <v>656.98</v>
          </cell>
          <cell r="O13">
            <v>390.55</v>
          </cell>
          <cell r="P13">
            <v>600.09</v>
          </cell>
          <cell r="Q13">
            <v>515.33000000000004</v>
          </cell>
          <cell r="R13">
            <v>1076.1399999999999</v>
          </cell>
          <cell r="S13">
            <v>514.04</v>
          </cell>
          <cell r="T13">
            <v>219.5</v>
          </cell>
          <cell r="U13">
            <v>430.42999999999995</v>
          </cell>
          <cell r="V13">
            <v>505.78</v>
          </cell>
          <cell r="W13">
            <v>623.83000000000004</v>
          </cell>
          <cell r="X13">
            <v>710.24</v>
          </cell>
          <cell r="Y13">
            <v>1051.47</v>
          </cell>
          <cell r="Z13">
            <v>985.07</v>
          </cell>
          <cell r="AA13">
            <v>356.74</v>
          </cell>
          <cell r="AB13">
            <v>347.53000000000003</v>
          </cell>
          <cell r="AC13">
            <v>390.61000000000007</v>
          </cell>
          <cell r="AD13">
            <v>291.31</v>
          </cell>
          <cell r="AE13">
            <v>165.63</v>
          </cell>
          <cell r="AF13">
            <v>115.75999999999999</v>
          </cell>
          <cell r="AG13">
            <v>250</v>
          </cell>
          <cell r="AH13">
            <v>256.7</v>
          </cell>
          <cell r="AI13">
            <v>142.68</v>
          </cell>
          <cell r="AJ13">
            <v>321.67</v>
          </cell>
          <cell r="AK13">
            <v>291.54000000000002</v>
          </cell>
          <cell r="AL13">
            <v>94.669999999999987</v>
          </cell>
        </row>
        <row r="19">
          <cell r="C19">
            <v>33.82</v>
          </cell>
          <cell r="D19">
            <v>15.78</v>
          </cell>
          <cell r="E19">
            <v>17.809999999999999</v>
          </cell>
          <cell r="F19">
            <v>23.81</v>
          </cell>
          <cell r="G19">
            <v>30.8</v>
          </cell>
          <cell r="H19">
            <v>13.22</v>
          </cell>
          <cell r="I19">
            <v>23.352</v>
          </cell>
          <cell r="J19">
            <v>16.091999999999999</v>
          </cell>
          <cell r="K19">
            <v>25.96</v>
          </cell>
          <cell r="L19">
            <v>10.63</v>
          </cell>
          <cell r="M19">
            <v>22.2</v>
          </cell>
          <cell r="N19">
            <v>20.63</v>
          </cell>
          <cell r="O19">
            <v>25.7</v>
          </cell>
          <cell r="P19">
            <v>5.56</v>
          </cell>
          <cell r="Q19">
            <v>1.1499999999999999</v>
          </cell>
          <cell r="R19">
            <v>50.64</v>
          </cell>
          <cell r="S19">
            <v>19.010000000000002</v>
          </cell>
          <cell r="T19">
            <v>8.41</v>
          </cell>
          <cell r="U19">
            <v>6.29</v>
          </cell>
          <cell r="V19">
            <v>16.7</v>
          </cell>
          <cell r="W19">
            <v>4.2699999999999996</v>
          </cell>
          <cell r="X19">
            <v>0.49</v>
          </cell>
          <cell r="Y19">
            <v>1.58</v>
          </cell>
          <cell r="Z19">
            <v>15.45</v>
          </cell>
          <cell r="AA19">
            <v>42.05</v>
          </cell>
          <cell r="AB19">
            <v>1.96</v>
          </cell>
          <cell r="AC19">
            <v>1.43</v>
          </cell>
          <cell r="AD19">
            <v>2.48</v>
          </cell>
          <cell r="AE19">
            <v>7.84</v>
          </cell>
          <cell r="AF19">
            <v>1.48</v>
          </cell>
          <cell r="AG19">
            <v>5.47</v>
          </cell>
          <cell r="AH19">
            <v>5.59</v>
          </cell>
        </row>
        <row r="23">
          <cell r="AI23">
            <v>27.99</v>
          </cell>
          <cell r="AJ23">
            <v>12.510000000000002</v>
          </cell>
          <cell r="AK23">
            <v>12</v>
          </cell>
          <cell r="AL23">
            <v>9.620000000000001</v>
          </cell>
        </row>
        <row r="25">
          <cell r="C25" t="e">
            <v>#VALUE!</v>
          </cell>
          <cell r="D25" t="e">
            <v>#DIV/0!</v>
          </cell>
          <cell r="E25">
            <v>-5.0955414012738851</v>
          </cell>
          <cell r="F25">
            <v>-41.395914169510547</v>
          </cell>
          <cell r="G25">
            <v>76.64589325663151</v>
          </cell>
          <cell r="H25">
            <v>70.157945118059999</v>
          </cell>
          <cell r="I25">
            <v>-28.647157266271645</v>
          </cell>
          <cell r="J25">
            <v>-15.52951104027003</v>
          </cell>
          <cell r="K25">
            <v>46.474891286433284</v>
          </cell>
          <cell r="L25">
            <v>6.2691470940816005</v>
          </cell>
          <cell r="M25">
            <v>-32.626476825204485</v>
          </cell>
          <cell r="N25">
            <v>10.136828911635678</v>
          </cell>
          <cell r="O25">
            <v>105.56911613566287</v>
          </cell>
          <cell r="P25">
            <v>20.024657404334008</v>
          </cell>
          <cell r="Q25">
            <v>-83.876511577039651</v>
          </cell>
          <cell r="R25">
            <v>-41.92082806573957</v>
          </cell>
          <cell r="S25">
            <v>370.63953488372101</v>
          </cell>
          <cell r="T25">
            <v>-2.8093326984558846</v>
          </cell>
          <cell r="U25">
            <v>-74.375128680255301</v>
          </cell>
          <cell r="V25">
            <v>-58.741601343784986</v>
          </cell>
          <cell r="W25">
            <v>-19.36365097219991</v>
          </cell>
          <cell r="X25">
            <v>-45.173876166242586</v>
          </cell>
          <cell r="Y25">
            <v>-44.758868074930255</v>
          </cell>
          <cell r="Z25">
            <v>33.632425742574227</v>
          </cell>
          <cell r="AA25">
            <v>290.54834054834055</v>
          </cell>
          <cell r="AB25">
            <v>87.242417226209795</v>
          </cell>
          <cell r="AC25">
            <v>-87.188250508036205</v>
          </cell>
          <cell r="AD25">
            <v>-85.532335847656725</v>
          </cell>
          <cell r="AE25">
            <v>140.59120403749094</v>
          </cell>
          <cell r="AF25">
            <v>219.48717948717947</v>
          </cell>
          <cell r="AG25">
            <v>-21.006892418339831</v>
          </cell>
          <cell r="AH25">
            <v>-23.649010165864102</v>
          </cell>
        </row>
        <row r="31">
          <cell r="AI31">
            <v>6.71</v>
          </cell>
          <cell r="AJ31">
            <v>9.93</v>
          </cell>
          <cell r="AK31">
            <v>1.95</v>
          </cell>
          <cell r="AL31">
            <v>3.3500000000000005</v>
          </cell>
        </row>
        <row r="36">
          <cell r="C36">
            <v>16.53</v>
          </cell>
          <cell r="D36">
            <v>4.8600000000000003</v>
          </cell>
          <cell r="E36">
            <v>3.32</v>
          </cell>
          <cell r="F36">
            <v>67.34</v>
          </cell>
          <cell r="G36">
            <v>7.65</v>
          </cell>
          <cell r="H36">
            <v>1.74</v>
          </cell>
          <cell r="I36">
            <v>3.3359999999999999</v>
          </cell>
          <cell r="J36">
            <v>63.923999999999999</v>
          </cell>
          <cell r="K36">
            <v>11.78</v>
          </cell>
          <cell r="L36">
            <v>2.1</v>
          </cell>
          <cell r="M36">
            <v>7.22</v>
          </cell>
          <cell r="N36">
            <v>25.93</v>
          </cell>
          <cell r="O36">
            <v>8.49</v>
          </cell>
          <cell r="P36">
            <v>4.7699999999999996</v>
          </cell>
          <cell r="Q36">
            <v>12.43</v>
          </cell>
          <cell r="R36">
            <v>25.88</v>
          </cell>
          <cell r="S36">
            <v>6.14</v>
          </cell>
          <cell r="T36">
            <v>4.8</v>
          </cell>
          <cell r="U36">
            <v>8.5299999999999994</v>
          </cell>
          <cell r="V36">
            <v>28.49</v>
          </cell>
          <cell r="W36">
            <v>14.35</v>
          </cell>
          <cell r="X36">
            <v>2.52</v>
          </cell>
          <cell r="Y36">
            <v>5.78</v>
          </cell>
          <cell r="Z36">
            <v>21.39</v>
          </cell>
          <cell r="AA36">
            <v>3.16</v>
          </cell>
          <cell r="AB36">
            <v>0.96</v>
          </cell>
          <cell r="AC36">
            <v>0.48</v>
          </cell>
          <cell r="AD36">
            <v>8.23</v>
          </cell>
          <cell r="AE36">
            <v>1.73</v>
          </cell>
          <cell r="AF36">
            <v>0.32</v>
          </cell>
          <cell r="AG36">
            <v>0.51</v>
          </cell>
          <cell r="AH36">
            <v>14.97</v>
          </cell>
        </row>
        <row r="42">
          <cell r="AI42">
            <v>1.9600000000000002</v>
          </cell>
          <cell r="AJ42">
            <v>17.580000000000002</v>
          </cell>
          <cell r="AK42">
            <v>9.620000000000001</v>
          </cell>
          <cell r="AL42">
            <v>7.2499999999999991</v>
          </cell>
        </row>
        <row r="46">
          <cell r="AI46">
            <v>100.31</v>
          </cell>
          <cell r="AJ46">
            <v>241.81</v>
          </cell>
          <cell r="AK46">
            <v>24.73</v>
          </cell>
          <cell r="AL46">
            <v>42.16</v>
          </cell>
        </row>
        <row r="51">
          <cell r="C51">
            <v>3.52</v>
          </cell>
          <cell r="D51">
            <v>5.71</v>
          </cell>
          <cell r="E51">
            <v>0.09</v>
          </cell>
          <cell r="F51">
            <v>3.2</v>
          </cell>
          <cell r="G51">
            <v>11.44</v>
          </cell>
          <cell r="H51">
            <v>5.67</v>
          </cell>
          <cell r="I51">
            <v>5.0175600000000005</v>
          </cell>
          <cell r="J51">
            <v>2.4359999999999995</v>
          </cell>
          <cell r="K51">
            <v>4.53</v>
          </cell>
          <cell r="L51">
            <v>1.55</v>
          </cell>
          <cell r="M51">
            <v>5.12</v>
          </cell>
          <cell r="N51">
            <v>6.78</v>
          </cell>
          <cell r="O51">
            <v>6.34</v>
          </cell>
          <cell r="P51">
            <v>3.51</v>
          </cell>
          <cell r="Q51">
            <v>4.79</v>
          </cell>
          <cell r="R51">
            <v>14.73</v>
          </cell>
          <cell r="S51">
            <v>2.25</v>
          </cell>
          <cell r="T51">
            <v>5.93</v>
          </cell>
          <cell r="U51">
            <v>3.34</v>
          </cell>
          <cell r="V51">
            <v>4.07</v>
          </cell>
          <cell r="W51">
            <v>0.81</v>
          </cell>
          <cell r="X51">
            <v>2.36</v>
          </cell>
          <cell r="Y51">
            <v>8.33</v>
          </cell>
          <cell r="Z51">
            <v>4.0199999999999996</v>
          </cell>
          <cell r="AA51">
            <v>1.18</v>
          </cell>
          <cell r="AB51">
            <v>0.77</v>
          </cell>
          <cell r="AC51">
            <v>1.77</v>
          </cell>
          <cell r="AD51">
            <v>5.83</v>
          </cell>
          <cell r="AE51">
            <v>3.89</v>
          </cell>
          <cell r="AF51">
            <v>2.75</v>
          </cell>
          <cell r="AG51">
            <v>7.08</v>
          </cell>
          <cell r="AH51">
            <v>2.52</v>
          </cell>
        </row>
        <row r="55">
          <cell r="C55">
            <v>0</v>
          </cell>
          <cell r="D55">
            <v>2.17</v>
          </cell>
          <cell r="E55">
            <v>2.65</v>
          </cell>
          <cell r="F55">
            <v>3.38</v>
          </cell>
          <cell r="G55">
            <v>4.45</v>
          </cell>
          <cell r="H55">
            <v>3.93</v>
          </cell>
          <cell r="I55">
            <v>6.2760000000000007</v>
          </cell>
          <cell r="J55">
            <v>1.2</v>
          </cell>
          <cell r="K55">
            <v>6.77</v>
          </cell>
          <cell r="L55">
            <v>2.78</v>
          </cell>
          <cell r="M55">
            <v>14.43</v>
          </cell>
          <cell r="N55">
            <v>8.02</v>
          </cell>
          <cell r="O55">
            <v>8.99</v>
          </cell>
          <cell r="P55">
            <v>9.19</v>
          </cell>
          <cell r="Q55">
            <v>5.42</v>
          </cell>
          <cell r="R55">
            <v>21.4</v>
          </cell>
          <cell r="S55">
            <v>2.37</v>
          </cell>
          <cell r="T55">
            <v>2.5299999999999998</v>
          </cell>
          <cell r="U55">
            <v>4.76</v>
          </cell>
          <cell r="V55">
            <v>3.77</v>
          </cell>
          <cell r="W55">
            <v>4.9000000000000004</v>
          </cell>
          <cell r="X55">
            <v>4.68</v>
          </cell>
          <cell r="Y55">
            <v>4.83</v>
          </cell>
          <cell r="Z55">
            <v>7.86</v>
          </cell>
          <cell r="AA55">
            <v>1.93</v>
          </cell>
          <cell r="AB55">
            <v>1.57</v>
          </cell>
          <cell r="AC55">
            <v>1.55</v>
          </cell>
          <cell r="AD55">
            <v>1.99</v>
          </cell>
          <cell r="AE55">
            <v>2.81</v>
          </cell>
          <cell r="AF55">
            <v>1.01</v>
          </cell>
          <cell r="AG55">
            <v>1.33</v>
          </cell>
          <cell r="AH55">
            <v>1.03</v>
          </cell>
        </row>
        <row r="70">
          <cell r="C70">
            <v>30.62</v>
          </cell>
          <cell r="D70">
            <v>92.92</v>
          </cell>
          <cell r="E70">
            <v>98.24</v>
          </cell>
          <cell r="F70">
            <v>59.37</v>
          </cell>
        </row>
        <row r="76">
          <cell r="C76">
            <v>840.25</v>
          </cell>
          <cell r="D76">
            <v>1113.9000000000001</v>
          </cell>
          <cell r="E76">
            <v>1230.23</v>
          </cell>
          <cell r="F76">
            <v>1547.64</v>
          </cell>
        </row>
        <row r="82">
          <cell r="C82">
            <v>787.47</v>
          </cell>
          <cell r="D82">
            <v>1010.5300000000001</v>
          </cell>
          <cell r="E82">
            <v>1119.57</v>
          </cell>
          <cell r="F82">
            <v>1463.13</v>
          </cell>
        </row>
        <row r="91">
          <cell r="C91">
            <v>0.5</v>
          </cell>
          <cell r="D91">
            <v>0.75</v>
          </cell>
          <cell r="E91">
            <v>0.65</v>
          </cell>
          <cell r="F91">
            <v>0.72</v>
          </cell>
        </row>
        <row r="101">
          <cell r="G101">
            <v>0.5</v>
          </cell>
          <cell r="H101">
            <v>0.38</v>
          </cell>
          <cell r="I101">
            <v>0.46</v>
          </cell>
          <cell r="J101">
            <v>0.43</v>
          </cell>
          <cell r="K101">
            <v>0.39</v>
          </cell>
          <cell r="L101">
            <v>0.39</v>
          </cell>
          <cell r="M101">
            <v>0.45</v>
          </cell>
          <cell r="N101">
            <v>0.38</v>
          </cell>
          <cell r="O101">
            <v>0.28000000000000003</v>
          </cell>
          <cell r="P101">
            <v>0.4</v>
          </cell>
          <cell r="Q101">
            <v>0.63</v>
          </cell>
          <cell r="R101">
            <v>0.63</v>
          </cell>
          <cell r="S101">
            <v>0.66</v>
          </cell>
          <cell r="T101">
            <v>0.56000000000000005</v>
          </cell>
          <cell r="U101">
            <v>1.25</v>
          </cell>
          <cell r="V101">
            <v>1.19</v>
          </cell>
          <cell r="W101">
            <v>0.82</v>
          </cell>
          <cell r="X101">
            <v>0.94</v>
          </cell>
          <cell r="Y101">
            <v>1.01</v>
          </cell>
          <cell r="Z101">
            <v>0.7</v>
          </cell>
          <cell r="AA101">
            <v>0.6</v>
          </cell>
          <cell r="AB101">
            <v>0.59</v>
          </cell>
          <cell r="AC101">
            <v>0.71</v>
          </cell>
          <cell r="AD101">
            <v>0.8</v>
          </cell>
          <cell r="AE101">
            <v>0.48</v>
          </cell>
          <cell r="AF101">
            <v>0.89</v>
          </cell>
          <cell r="AG101">
            <v>0.59</v>
          </cell>
          <cell r="AH101">
            <v>0.54</v>
          </cell>
        </row>
        <row r="108">
          <cell r="C108">
            <v>0.31</v>
          </cell>
          <cell r="D108">
            <v>0.44</v>
          </cell>
          <cell r="E108">
            <v>0.6</v>
          </cell>
          <cell r="F108">
            <v>0.43</v>
          </cell>
        </row>
        <row r="109">
          <cell r="Y109">
            <v>4.17</v>
          </cell>
          <cell r="Z109">
            <v>8.19</v>
          </cell>
          <cell r="AA109">
            <v>4.13</v>
          </cell>
          <cell r="AB109">
            <v>5.23</v>
          </cell>
          <cell r="AC109">
            <v>7.57</v>
          </cell>
          <cell r="AD109">
            <v>13.31</v>
          </cell>
          <cell r="AE109">
            <v>2.73</v>
          </cell>
          <cell r="AF109">
            <v>1.59</v>
          </cell>
          <cell r="AG109">
            <v>40</v>
          </cell>
          <cell r="AH109">
            <v>4</v>
          </cell>
        </row>
        <row r="112">
          <cell r="C112">
            <v>0.35044444444444434</v>
          </cell>
          <cell r="D112">
            <v>0.52297364085667208</v>
          </cell>
          <cell r="E112">
            <v>0.6801666666666667</v>
          </cell>
          <cell r="F112">
            <v>1.2296800000000001</v>
          </cell>
        </row>
        <row r="120">
          <cell r="G120">
            <v>1.56</v>
          </cell>
          <cell r="H120">
            <v>1.1200000000000001</v>
          </cell>
          <cell r="I120">
            <v>1.1499999999999999</v>
          </cell>
          <cell r="J120">
            <v>4.3499999999999996</v>
          </cell>
          <cell r="K120">
            <v>2.38</v>
          </cell>
          <cell r="L120">
            <v>1.22</v>
          </cell>
          <cell r="M120">
            <v>1.1100000000000001</v>
          </cell>
          <cell r="N120">
            <v>2.68</v>
          </cell>
          <cell r="O120">
            <v>1</v>
          </cell>
          <cell r="P120">
            <v>1.43</v>
          </cell>
          <cell r="Q120">
            <v>1.88</v>
          </cell>
          <cell r="R120">
            <v>3.14</v>
          </cell>
          <cell r="S120">
            <v>1</v>
          </cell>
          <cell r="T120">
            <v>1.57</v>
          </cell>
          <cell r="U120">
            <v>1.49</v>
          </cell>
          <cell r="V120">
            <v>1.1000000000000001</v>
          </cell>
          <cell r="W120">
            <v>1.34</v>
          </cell>
          <cell r="X120">
            <v>1.39</v>
          </cell>
          <cell r="Y120">
            <v>1.58</v>
          </cell>
          <cell r="Z120">
            <v>2.61</v>
          </cell>
          <cell r="AA120">
            <v>4.5599999999999996</v>
          </cell>
          <cell r="AB120">
            <v>1.71</v>
          </cell>
          <cell r="AC120">
            <v>1.1599999999999999</v>
          </cell>
          <cell r="AD120">
            <v>2.5499999999999998</v>
          </cell>
          <cell r="AE120">
            <v>1.06</v>
          </cell>
          <cell r="AF120">
            <v>0.89</v>
          </cell>
          <cell r="AG120">
            <v>1</v>
          </cell>
          <cell r="AH120">
            <v>3.08</v>
          </cell>
        </row>
        <row r="124">
          <cell r="C124">
            <v>1.1277156432748539</v>
          </cell>
          <cell r="D124">
            <v>0.9440615061210802</v>
          </cell>
          <cell r="E124">
            <v>0.81041349726609369</v>
          </cell>
          <cell r="F124">
            <v>1.0355282219565285</v>
          </cell>
          <cell r="G124">
            <v>0.89140876896535426</v>
          </cell>
          <cell r="H124">
            <v>0.66375862902203542</v>
          </cell>
          <cell r="I124">
            <v>0.75297419571909041</v>
          </cell>
          <cell r="J124">
            <v>0.99491092847323559</v>
          </cell>
          <cell r="K124">
            <v>1.0414445942861368</v>
          </cell>
          <cell r="L124">
            <v>0.96419084202473471</v>
          </cell>
          <cell r="M124">
            <v>0.91341117921822468</v>
          </cell>
          <cell r="N124">
            <v>0.98007311492794769</v>
          </cell>
          <cell r="O124">
            <v>0.97273555047179583</v>
          </cell>
          <cell r="P124">
            <v>0.92046828413011461</v>
          </cell>
          <cell r="Q124">
            <v>1.578714841010288</v>
          </cell>
          <cell r="R124">
            <v>1.7369302467898167</v>
          </cell>
          <cell r="S124">
            <v>1.296366539188361</v>
          </cell>
          <cell r="T124">
            <v>1.1918075131678525</v>
          </cell>
          <cell r="U124">
            <v>1.4353960683209797</v>
          </cell>
          <cell r="V124">
            <v>1.5366008766774326</v>
          </cell>
          <cell r="W124">
            <v>1.6959395322751474</v>
          </cell>
          <cell r="X124">
            <v>1.5722579378424992</v>
          </cell>
          <cell r="Y124">
            <v>1.3445370323822226</v>
          </cell>
          <cell r="Z124">
            <v>1.4383192660867166</v>
          </cell>
          <cell r="AA124">
            <v>1.3315667486480705</v>
          </cell>
          <cell r="AB124">
            <v>1.626542170486029</v>
          </cell>
          <cell r="AC124">
            <v>2.0291831683168318</v>
          </cell>
          <cell r="AD124">
            <v>1.7216420765027323</v>
          </cell>
          <cell r="AE124">
            <v>1.641044731369989</v>
          </cell>
          <cell r="AF124">
            <v>1.2494234304905256</v>
          </cell>
          <cell r="AG124">
            <v>1.1127985534010465</v>
          </cell>
          <cell r="AH124">
            <v>1.4272799481521674</v>
          </cell>
        </row>
        <row r="128">
          <cell r="AI128">
            <v>0.81499999999999995</v>
          </cell>
        </row>
        <row r="132">
          <cell r="C132">
            <v>1.57</v>
          </cell>
          <cell r="D132">
            <v>1.4</v>
          </cell>
          <cell r="E132">
            <v>2.76</v>
          </cell>
          <cell r="F132">
            <v>2.44</v>
          </cell>
          <cell r="G132">
            <v>1.08</v>
          </cell>
          <cell r="H132">
            <v>1.92</v>
          </cell>
          <cell r="I132">
            <v>2.56</v>
          </cell>
          <cell r="J132">
            <v>3.13</v>
          </cell>
          <cell r="K132">
            <v>2.56</v>
          </cell>
          <cell r="L132">
            <v>5.09</v>
          </cell>
          <cell r="M132">
            <v>2.84</v>
          </cell>
          <cell r="N132">
            <v>2.41</v>
          </cell>
          <cell r="O132">
            <v>2.98</v>
          </cell>
          <cell r="P132">
            <v>3.86</v>
          </cell>
          <cell r="Q132">
            <v>2.82</v>
          </cell>
          <cell r="R132">
            <v>1.83</v>
          </cell>
          <cell r="S132">
            <v>3.13</v>
          </cell>
          <cell r="T132">
            <v>1.89</v>
          </cell>
          <cell r="U132">
            <v>2.87</v>
          </cell>
          <cell r="V132">
            <v>3.07</v>
          </cell>
          <cell r="W132">
            <v>3.74</v>
          </cell>
          <cell r="X132">
            <v>2.4300000000000002</v>
          </cell>
          <cell r="Y132">
            <v>1.32</v>
          </cell>
          <cell r="Z132">
            <v>2.9</v>
          </cell>
          <cell r="AA132">
            <v>4.24</v>
          </cell>
          <cell r="AB132">
            <v>2.78</v>
          </cell>
          <cell r="AC132">
            <v>3.67</v>
          </cell>
          <cell r="AD132">
            <v>1.86</v>
          </cell>
          <cell r="AE132">
            <v>3.19</v>
          </cell>
          <cell r="AF132">
            <v>2.5499999999999998</v>
          </cell>
          <cell r="AG132">
            <v>2.79</v>
          </cell>
          <cell r="AH132">
            <v>2.72</v>
          </cell>
        </row>
        <row r="134">
          <cell r="AI134">
            <v>2.84</v>
          </cell>
        </row>
        <row r="138">
          <cell r="C138">
            <v>1.56</v>
          </cell>
          <cell r="D138">
            <v>1.21</v>
          </cell>
          <cell r="E138">
            <v>1.56</v>
          </cell>
          <cell r="F138">
            <v>1.79</v>
          </cell>
          <cell r="G138">
            <v>1.72</v>
          </cell>
          <cell r="H138">
            <v>1.71</v>
          </cell>
          <cell r="I138">
            <v>1.33</v>
          </cell>
          <cell r="J138">
            <v>1.98</v>
          </cell>
          <cell r="K138">
            <v>1.87</v>
          </cell>
          <cell r="L138">
            <v>1.43</v>
          </cell>
          <cell r="M138">
            <v>1.35</v>
          </cell>
          <cell r="N138">
            <v>1.55</v>
          </cell>
          <cell r="O138">
            <v>1.33</v>
          </cell>
          <cell r="P138">
            <v>1.27</v>
          </cell>
          <cell r="Q138">
            <v>1.53</v>
          </cell>
          <cell r="R138">
            <v>1.63</v>
          </cell>
          <cell r="S138">
            <v>4.42</v>
          </cell>
          <cell r="T138">
            <v>1.93</v>
          </cell>
          <cell r="U138">
            <v>2.87</v>
          </cell>
          <cell r="V138">
            <v>3.81</v>
          </cell>
          <cell r="W138">
            <v>1.45</v>
          </cell>
          <cell r="X138">
            <v>0.71</v>
          </cell>
          <cell r="Y138">
            <v>0.76</v>
          </cell>
          <cell r="Z138">
            <v>1.38</v>
          </cell>
          <cell r="AA138">
            <v>1.1599999999999999</v>
          </cell>
          <cell r="AB138">
            <v>0.97</v>
          </cell>
          <cell r="AC138">
            <v>1.28</v>
          </cell>
          <cell r="AD138">
            <v>1.39</v>
          </cell>
          <cell r="AE138">
            <v>1.54</v>
          </cell>
          <cell r="AF138">
            <v>1.29</v>
          </cell>
          <cell r="AG138">
            <v>1.5</v>
          </cell>
          <cell r="AH138">
            <v>1.5</v>
          </cell>
        </row>
        <row r="140">
          <cell r="AI140">
            <v>2.64</v>
          </cell>
        </row>
        <row r="141">
          <cell r="G141">
            <v>0.56000000000000005</v>
          </cell>
          <cell r="H141">
            <v>0.73</v>
          </cell>
          <cell r="I141">
            <v>0.43</v>
          </cell>
          <cell r="J141">
            <v>0.67</v>
          </cell>
          <cell r="K141">
            <v>1.4</v>
          </cell>
          <cell r="L141">
            <v>0.82</v>
          </cell>
          <cell r="M141">
            <v>0.47</v>
          </cell>
          <cell r="N141">
            <v>0.46</v>
          </cell>
          <cell r="O141">
            <v>1.06</v>
          </cell>
          <cell r="P141">
            <v>0.85</v>
          </cell>
          <cell r="Q141">
            <v>0.67</v>
          </cell>
          <cell r="R141">
            <v>0.78</v>
          </cell>
          <cell r="S141">
            <v>1.24</v>
          </cell>
          <cell r="T141">
            <v>0.75</v>
          </cell>
          <cell r="U141">
            <v>0.83</v>
          </cell>
          <cell r="V141">
            <v>0.95</v>
          </cell>
          <cell r="W141">
            <v>0.84</v>
          </cell>
          <cell r="X141">
            <v>0.88</v>
          </cell>
          <cell r="Y141">
            <v>0.34</v>
          </cell>
          <cell r="Z141">
            <v>0.46</v>
          </cell>
          <cell r="AA141">
            <v>2.0099999999999998</v>
          </cell>
          <cell r="AB141">
            <v>1.57</v>
          </cell>
          <cell r="AC141">
            <v>0.66</v>
          </cell>
          <cell r="AD141">
            <v>0.68</v>
          </cell>
          <cell r="AE141">
            <v>0.28000000000000003</v>
          </cell>
          <cell r="AF141">
            <v>2.14</v>
          </cell>
          <cell r="AG141">
            <v>1.01</v>
          </cell>
          <cell r="AH141">
            <v>1.66</v>
          </cell>
        </row>
        <row r="149">
          <cell r="C149">
            <v>0.31</v>
          </cell>
          <cell r="D149">
            <v>0.6</v>
          </cell>
          <cell r="E149">
            <v>0.47</v>
          </cell>
          <cell r="F149">
            <v>0.33</v>
          </cell>
          <cell r="G149">
            <v>0.4</v>
          </cell>
          <cell r="H149">
            <v>0.54</v>
          </cell>
          <cell r="I149">
            <v>0.46</v>
          </cell>
          <cell r="J149">
            <v>0.4</v>
          </cell>
          <cell r="K149">
            <v>0.41</v>
          </cell>
          <cell r="L149">
            <v>0.4</v>
          </cell>
          <cell r="M149">
            <v>0.41</v>
          </cell>
          <cell r="N149">
            <v>0.41</v>
          </cell>
          <cell r="O149">
            <v>0.33</v>
          </cell>
          <cell r="P149">
            <v>0.37</v>
          </cell>
          <cell r="Q149">
            <v>0.4</v>
          </cell>
          <cell r="R149">
            <v>0.37</v>
          </cell>
          <cell r="S149">
            <v>0.4</v>
          </cell>
          <cell r="T149">
            <v>0.5</v>
          </cell>
          <cell r="U149">
            <v>0.42</v>
          </cell>
          <cell r="V149">
            <v>0.42</v>
          </cell>
          <cell r="W149">
            <v>0.6</v>
          </cell>
          <cell r="X149">
            <v>0.51</v>
          </cell>
          <cell r="Y149">
            <v>0.6</v>
          </cell>
          <cell r="Z149">
            <v>0.59</v>
          </cell>
          <cell r="AA149">
            <v>0.66</v>
          </cell>
          <cell r="AB149">
            <v>0.67</v>
          </cell>
          <cell r="AC149">
            <v>0.6</v>
          </cell>
          <cell r="AD149">
            <v>0.63</v>
          </cell>
          <cell r="AE149">
            <v>0.68</v>
          </cell>
          <cell r="AF149">
            <v>2.23</v>
          </cell>
          <cell r="AG149">
            <v>0.73</v>
          </cell>
          <cell r="AH149">
            <v>0.75</v>
          </cell>
          <cell r="AI149">
            <v>0.97</v>
          </cell>
        </row>
        <row r="151">
          <cell r="AI151">
            <v>0.19941639154258006</v>
          </cell>
        </row>
        <row r="163">
          <cell r="AD163">
            <v>21551.7</v>
          </cell>
          <cell r="AF163">
            <v>6535.4</v>
          </cell>
          <cell r="AI163">
            <v>35488.200000000004</v>
          </cell>
          <cell r="AJ163">
            <v>18490.5</v>
          </cell>
          <cell r="AK163">
            <v>17423</v>
          </cell>
          <cell r="AL163">
            <v>9047.5</v>
          </cell>
          <cell r="AM163">
            <v>6760.0000000000009</v>
          </cell>
          <cell r="AN163">
            <v>41556.400000000001</v>
          </cell>
          <cell r="AO163">
            <v>45807.5</v>
          </cell>
          <cell r="AP163">
            <v>28498.799999999999</v>
          </cell>
        </row>
        <row r="164">
          <cell r="C164">
            <v>17361.3</v>
          </cell>
          <cell r="D164">
            <v>39244.449999999997</v>
          </cell>
          <cell r="E164">
            <v>77717.55</v>
          </cell>
          <cell r="F164">
            <v>53293.299999999996</v>
          </cell>
          <cell r="G164">
            <v>23315</v>
          </cell>
          <cell r="H164">
            <v>20635.2</v>
          </cell>
          <cell r="I164">
            <v>42214.499999999993</v>
          </cell>
          <cell r="J164">
            <v>41513.999999999993</v>
          </cell>
          <cell r="K164">
            <v>18235.800000000003</v>
          </cell>
          <cell r="L164">
            <v>56960</v>
          </cell>
          <cell r="M164">
            <v>52327.44999999999</v>
          </cell>
          <cell r="N164">
            <v>47446.5</v>
          </cell>
          <cell r="O164">
            <v>15234.749999999998</v>
          </cell>
          <cell r="P164">
            <v>44133.599999999991</v>
          </cell>
          <cell r="Q164">
            <v>49632.1</v>
          </cell>
          <cell r="R164">
            <v>14501.5</v>
          </cell>
          <cell r="S164">
            <v>37349.699999999997</v>
          </cell>
          <cell r="T164">
            <v>15716.750000000002</v>
          </cell>
          <cell r="U164">
            <v>96237.199999999983</v>
          </cell>
          <cell r="V164">
            <v>89314.3</v>
          </cell>
          <cell r="W164">
            <v>80113.600000000006</v>
          </cell>
          <cell r="X164">
            <v>101681.99999999999</v>
          </cell>
          <cell r="Y164">
            <v>109762.90000000001</v>
          </cell>
          <cell r="Z164">
            <v>36836.000000000007</v>
          </cell>
          <cell r="AA164">
            <v>27675</v>
          </cell>
          <cell r="AB164">
            <v>22891.200000000001</v>
          </cell>
          <cell r="AC164">
            <v>35719</v>
          </cell>
          <cell r="AD164">
            <v>15407.5</v>
          </cell>
          <cell r="AE164">
            <v>6052.7999999999993</v>
          </cell>
          <cell r="AF164">
            <v>9640.4000000000015</v>
          </cell>
          <cell r="AG164">
            <v>23383.300000000003</v>
          </cell>
          <cell r="AH164">
            <v>20365.8</v>
          </cell>
        </row>
        <row r="166">
          <cell r="AI166">
            <v>92454.400000000009</v>
          </cell>
        </row>
        <row r="168">
          <cell r="C168">
            <v>12851.6</v>
          </cell>
          <cell r="D168">
            <v>7890</v>
          </cell>
          <cell r="E168">
            <v>9617.4</v>
          </cell>
          <cell r="F168">
            <v>10714.5</v>
          </cell>
          <cell r="G168">
            <v>12012</v>
          </cell>
          <cell r="H168">
            <v>5288</v>
          </cell>
          <cell r="I168">
            <v>8173.2</v>
          </cell>
          <cell r="J168">
            <v>6436.8</v>
          </cell>
          <cell r="K168">
            <v>8566.8000000000011</v>
          </cell>
          <cell r="L168">
            <v>4252.0000000000009</v>
          </cell>
          <cell r="M168">
            <v>8658</v>
          </cell>
          <cell r="N168">
            <v>7839.4</v>
          </cell>
          <cell r="O168">
            <v>6425</v>
          </cell>
          <cell r="P168">
            <v>2390.7999999999997</v>
          </cell>
          <cell r="Q168">
            <v>644</v>
          </cell>
          <cell r="R168">
            <v>27345.600000000002</v>
          </cell>
          <cell r="S168">
            <v>12736.700000000003</v>
          </cell>
          <cell r="T168">
            <v>4541.4000000000005</v>
          </cell>
          <cell r="U168">
            <v>5786.8</v>
          </cell>
          <cell r="V168">
            <v>13360</v>
          </cell>
          <cell r="W168">
            <v>4739.7</v>
          </cell>
          <cell r="X168">
            <v>661.5</v>
          </cell>
          <cell r="Y168">
            <v>1501</v>
          </cell>
          <cell r="Z168">
            <v>8343</v>
          </cell>
          <cell r="AA168">
            <v>17660.999999999996</v>
          </cell>
          <cell r="AB168">
            <v>1038.8</v>
          </cell>
          <cell r="AC168">
            <v>1101.0999999999999</v>
          </cell>
          <cell r="AD168">
            <v>1661.6000000000001</v>
          </cell>
          <cell r="AE168">
            <v>3371.2</v>
          </cell>
          <cell r="AF168">
            <v>1036</v>
          </cell>
          <cell r="AG168">
            <v>2953.8</v>
          </cell>
          <cell r="AH168">
            <v>2347.7999999999997</v>
          </cell>
        </row>
        <row r="169">
          <cell r="AD169">
            <v>2304</v>
          </cell>
          <cell r="AF169">
            <v>3132.8</v>
          </cell>
          <cell r="AI169">
            <v>7840.0000000000009</v>
          </cell>
          <cell r="AJ169">
            <v>4809.5999999999995</v>
          </cell>
          <cell r="AK169">
            <v>980.4</v>
          </cell>
          <cell r="AL169">
            <v>2390.4</v>
          </cell>
          <cell r="AM169">
            <v>4465.9999999999991</v>
          </cell>
          <cell r="AN169">
            <v>3622.3000000000006</v>
          </cell>
          <cell r="AO169">
            <v>1969.0000000000002</v>
          </cell>
          <cell r="AP169">
            <v>2480.4</v>
          </cell>
        </row>
        <row r="170">
          <cell r="AI170">
            <v>0</v>
          </cell>
        </row>
        <row r="175">
          <cell r="AD175">
            <v>399.3</v>
          </cell>
          <cell r="AF175">
            <v>127.2</v>
          </cell>
          <cell r="AI175">
            <v>775.99999999999989</v>
          </cell>
          <cell r="AJ175">
            <v>0</v>
          </cell>
          <cell r="AK175">
            <v>0</v>
          </cell>
          <cell r="AL175">
            <v>25959</v>
          </cell>
          <cell r="AM175">
            <v>23436</v>
          </cell>
          <cell r="AN175">
            <v>11354.4</v>
          </cell>
          <cell r="AO175">
            <v>10172.700000000001</v>
          </cell>
          <cell r="AP175">
            <v>14485.5</v>
          </cell>
        </row>
        <row r="184">
          <cell r="AD184">
            <v>25.5</v>
          </cell>
          <cell r="AF184">
            <v>62.300000000000011</v>
          </cell>
          <cell r="AI184">
            <v>126.6</v>
          </cell>
          <cell r="AJ184">
            <v>1651.1</v>
          </cell>
          <cell r="AK184">
            <v>1053.6999999999998</v>
          </cell>
          <cell r="AL184">
            <v>130</v>
          </cell>
          <cell r="AM184">
            <v>1305.3</v>
          </cell>
          <cell r="AN184">
            <v>3127</v>
          </cell>
          <cell r="AO184">
            <v>1397.4</v>
          </cell>
          <cell r="AP184">
            <v>1794.8000000000002</v>
          </cell>
        </row>
        <row r="186">
          <cell r="AD186">
            <v>116.8</v>
          </cell>
          <cell r="AF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414.40000000000003</v>
          </cell>
          <cell r="AO186">
            <v>3121.2</v>
          </cell>
          <cell r="AP186">
            <v>368.00000000000006</v>
          </cell>
        </row>
        <row r="201">
          <cell r="AD201">
            <v>1570.8000000000002</v>
          </cell>
          <cell r="AF201">
            <v>3252.8</v>
          </cell>
          <cell r="AI201">
            <v>2537.5</v>
          </cell>
          <cell r="AJ201">
            <v>5366.6999999999989</v>
          </cell>
          <cell r="AK201">
            <v>35200.199999999997</v>
          </cell>
          <cell r="AL201">
            <v>14152.5</v>
          </cell>
          <cell r="AM201">
            <v>10871.2</v>
          </cell>
          <cell r="AN201">
            <v>11978.4</v>
          </cell>
          <cell r="AO201">
            <v>9655.8000000000011</v>
          </cell>
          <cell r="AP201">
            <v>9889.6000000000022</v>
          </cell>
        </row>
      </sheetData>
      <sheetData sheetId="1">
        <row r="67">
          <cell r="B67">
            <v>4.37</v>
          </cell>
          <cell r="C67">
            <v>5.8</v>
          </cell>
        </row>
        <row r="68">
          <cell r="D68">
            <v>2.2563268466197335</v>
          </cell>
          <cell r="E68">
            <v>2.9421669543606113</v>
          </cell>
          <cell r="F68">
            <v>3.4782772786626119</v>
          </cell>
          <cell r="G68">
            <v>1.9289127033549405</v>
          </cell>
          <cell r="H68">
            <v>2.2967098755719668</v>
          </cell>
        </row>
        <row r="73">
          <cell r="B73">
            <v>6.37</v>
          </cell>
          <cell r="C73">
            <v>5.9600000000000009</v>
          </cell>
        </row>
        <row r="74">
          <cell r="D74">
            <v>1.7566945898898134</v>
          </cell>
          <cell r="E74">
            <v>2.4567153055981246</v>
          </cell>
          <cell r="F74">
            <v>4.4467539247634216</v>
          </cell>
          <cell r="G74">
            <v>3.0036915906726986</v>
          </cell>
          <cell r="H74">
            <v>3.0885939046295903</v>
          </cell>
        </row>
        <row r="79">
          <cell r="B79">
            <v>1.02</v>
          </cell>
          <cell r="C79">
            <v>0.83</v>
          </cell>
        </row>
        <row r="80">
          <cell r="D80">
            <v>1.4049344630477838</v>
          </cell>
          <cell r="E80">
            <v>3.13686311546296</v>
          </cell>
          <cell r="F80">
            <v>4.9079877692389529</v>
          </cell>
          <cell r="G80">
            <v>2.6725036676212812</v>
          </cell>
          <cell r="H80">
            <v>3.260117865313922</v>
          </cell>
        </row>
        <row r="88">
          <cell r="B88">
            <v>2.6</v>
          </cell>
          <cell r="C88">
            <v>2.64</v>
          </cell>
        </row>
        <row r="89">
          <cell r="D89">
            <v>3.8010827981161244</v>
          </cell>
          <cell r="E89">
            <v>5.8574755199153383</v>
          </cell>
          <cell r="F89">
            <v>6.2177176290398632</v>
          </cell>
          <cell r="G89">
            <v>6.1297228731454911</v>
          </cell>
          <cell r="H89">
            <v>5.9421310139865158</v>
          </cell>
        </row>
        <row r="91">
          <cell r="D91">
            <v>3.0700000000000003</v>
          </cell>
          <cell r="E91">
            <v>3.55</v>
          </cell>
          <cell r="F91">
            <v>3.5300000000000002</v>
          </cell>
          <cell r="G91">
            <v>2.5499999999999998</v>
          </cell>
          <cell r="H91">
            <v>2.76</v>
          </cell>
        </row>
        <row r="105">
          <cell r="B105">
            <v>8.66</v>
          </cell>
          <cell r="C105">
            <v>9.27</v>
          </cell>
        </row>
        <row r="106">
          <cell r="D106">
            <v>5.4388097978191983</v>
          </cell>
          <cell r="E106">
            <v>5.0727738360416437</v>
          </cell>
          <cell r="F106">
            <v>5.8636091413187588</v>
          </cell>
          <cell r="G106">
            <v>5.2335203327687996</v>
          </cell>
          <cell r="H106">
            <v>6.858924964547441</v>
          </cell>
        </row>
        <row r="109">
          <cell r="B109">
            <v>1.7400000000000002</v>
          </cell>
          <cell r="C109">
            <v>1.67</v>
          </cell>
        </row>
        <row r="110">
          <cell r="D110">
            <v>0.82230118308925704</v>
          </cell>
          <cell r="E110">
            <v>1.0286760547974658</v>
          </cell>
          <cell r="F110">
            <v>1.133847643845884</v>
          </cell>
          <cell r="G110">
            <v>1.3370471872901162</v>
          </cell>
          <cell r="H110">
            <v>1.4299532359976377</v>
          </cell>
        </row>
        <row r="123">
          <cell r="B123">
            <v>21892.600000000002</v>
          </cell>
          <cell r="C123">
            <v>17811.96</v>
          </cell>
          <cell r="D123">
            <v>17474.199999999997</v>
          </cell>
          <cell r="E123">
            <v>41924.1</v>
          </cell>
          <cell r="F123">
            <v>26588.9</v>
          </cell>
          <cell r="G123">
            <v>19211.899999999998</v>
          </cell>
          <cell r="H123">
            <v>4619.5</v>
          </cell>
        </row>
        <row r="129">
          <cell r="B129">
            <v>31436.6</v>
          </cell>
          <cell r="C129">
            <v>39221.699999999997</v>
          </cell>
          <cell r="D129">
            <v>44260.5</v>
          </cell>
          <cell r="E129">
            <v>32674.700000000004</v>
          </cell>
          <cell r="F129">
            <v>24951.8</v>
          </cell>
          <cell r="G129">
            <v>7139.7999999999993</v>
          </cell>
          <cell r="H129">
            <v>6337.0999999999995</v>
          </cell>
        </row>
        <row r="135">
          <cell r="B135">
            <v>2195.2000000000003</v>
          </cell>
          <cell r="C135">
            <v>1350.06</v>
          </cell>
          <cell r="D135">
            <v>1689.3</v>
          </cell>
          <cell r="E135">
            <v>1995.2</v>
          </cell>
          <cell r="F135">
            <v>2741</v>
          </cell>
          <cell r="G135">
            <v>1906.4</v>
          </cell>
          <cell r="H135">
            <v>171.60000000000002</v>
          </cell>
        </row>
        <row r="144">
          <cell r="B144">
            <v>14128.6</v>
          </cell>
          <cell r="C144">
            <v>15446.080000000002</v>
          </cell>
          <cell r="D144">
            <v>15699.8</v>
          </cell>
          <cell r="E144">
            <v>15492.199999999999</v>
          </cell>
          <cell r="F144">
            <v>26160</v>
          </cell>
          <cell r="G144">
            <v>4955.8</v>
          </cell>
          <cell r="H144">
            <v>116.8</v>
          </cell>
        </row>
        <row r="161">
          <cell r="B161">
            <v>6359.4</v>
          </cell>
          <cell r="C161">
            <v>10065</v>
          </cell>
          <cell r="D161">
            <v>9470.9</v>
          </cell>
          <cell r="E161">
            <v>19286.399999999998</v>
          </cell>
          <cell r="F161">
            <v>6757.7000000000007</v>
          </cell>
          <cell r="G161">
            <v>4977.7000000000007</v>
          </cell>
          <cell r="H161">
            <v>3398.3999999999996</v>
          </cell>
        </row>
        <row r="165">
          <cell r="B165">
            <v>24923.600000000002</v>
          </cell>
          <cell r="C165">
            <v>43427.479999999996</v>
          </cell>
          <cell r="D165">
            <v>73556.5</v>
          </cell>
          <cell r="E165">
            <v>79509.5</v>
          </cell>
          <cell r="F165">
            <v>64122.9</v>
          </cell>
          <cell r="G165">
            <v>22281.4</v>
          </cell>
          <cell r="H165">
            <v>4999.4000000000005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c_CPI"/>
      <sheetName val="NZ Food Price Index"/>
      <sheetName val="NZ Construction Index_Quarterly"/>
      <sheetName val="Database"/>
      <sheetName val="Database_Tonga"/>
      <sheetName val="Chart_ INFLATION_Tonga MPSFeb25"/>
      <sheetName val="Core Inflation"/>
      <sheetName val="Non-core Inflation"/>
      <sheetName val="Breakdown"/>
      <sheetName val="Breakdown 2"/>
      <sheetName val="Breakdown 3"/>
      <sheetName val="Breakdown_tongan"/>
      <sheetName val="Summary"/>
      <sheetName val="Dataflash"/>
      <sheetName val="NRBTforecast-EMCupdate"/>
      <sheetName val="Chart - CPI YOY TonganFeb25"/>
      <sheetName val="Chart_ INFLATION Tongan"/>
      <sheetName val="Chart - CPI YOY"/>
      <sheetName val="Chart - CPI YOY Tongan (2)"/>
      <sheetName val="Chart - CPI YOY Tongan"/>
      <sheetName val="Chart_CORE INFLATION_MPS"/>
      <sheetName val="Chart-Forecasts"/>
      <sheetName val="Chart_ INFLATION"/>
      <sheetName val="Chart_COUNTRIES"/>
      <sheetName val="Chart_HeadlinevsForecast"/>
      <sheetName val="Chart-ContributionInflationYOY"/>
      <sheetName val="Chart-ContributionInflationMoM"/>
      <sheetName val="Chart - CPI YOY Tonga"/>
      <sheetName val="Chart Headline_DomvsImp"/>
      <sheetName val="Chart Headline_CorevsNoncor"/>
      <sheetName val="Chart_CorevsNoncore2"/>
      <sheetName val="Chart2"/>
      <sheetName val="Chart Core_DomvsImp"/>
      <sheetName val="Chart Core_ImpContri"/>
      <sheetName val="Chart Core_DomesticContri"/>
      <sheetName val="Chart Non-core"/>
      <sheetName val="Sheet3"/>
      <sheetName val="Chart1"/>
      <sheetName val="Sheet1"/>
      <sheetName val="Summary (2)"/>
      <sheetName val="Point contributionForMPSNov22"/>
      <sheetName val="SourceofInflationMPSTongan"/>
      <sheetName val="Chart_CORE Contribution"/>
      <sheetName val="Sheet5"/>
      <sheetName val="Chart_CORE INFLATION_MPS Tongan"/>
      <sheetName val="Chart_CORE INFLATION_IMF"/>
      <sheetName val="Chart - CPI YOY CPI"/>
      <sheetName val="CPIindextable"/>
      <sheetName val="CPI - All items"/>
      <sheetName val="Chart-Contribution_tongan"/>
      <sheetName val="Chart - CPI YOY Feb22Ton"/>
      <sheetName val="Chart - CPI YOY 'Aok21"/>
      <sheetName val="Chart - CPI"/>
      <sheetName val="Chart - CPI MOM"/>
      <sheetName val="Contrib Domestic"/>
      <sheetName val="Contrib D.Food"/>
      <sheetName val="Chart35"/>
      <sheetName val="Chart-kava index"/>
      <sheetName val="ForecastMPSFeb22"/>
      <sheetName val="ForecastMPSFeb22Ton"/>
    </sheetNames>
    <sheetDataSet>
      <sheetData sheetId="0"/>
      <sheetData sheetId="1">
        <row r="6">
          <cell r="F6">
            <v>43008</v>
          </cell>
        </row>
      </sheetData>
      <sheetData sheetId="2"/>
      <sheetData sheetId="3"/>
      <sheetData sheetId="4">
        <row r="1">
          <cell r="B1" t="str">
            <v>All items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/>
      <sheetData sheetId="4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c_CPI"/>
      <sheetName val="NZ Food Price Index"/>
      <sheetName val="NZ Construction Index_Quarterly"/>
      <sheetName val="Database_2021rebase"/>
      <sheetName val="Database_2021rebaseTONGA"/>
      <sheetName val="Breakdown (2)"/>
      <sheetName val="Database"/>
      <sheetName val="Breakdown"/>
      <sheetName val="Table 4"/>
      <sheetName val="Database_Tonga"/>
      <sheetName val="Chart_ INFLATION_Tonga MPSFeb25"/>
      <sheetName val="Summary"/>
      <sheetName val="Core Inflation"/>
      <sheetName val="Core Inflation_excludingCaterin"/>
      <sheetName val="Non-core Inflation"/>
      <sheetName val="Breakdown 2"/>
      <sheetName val="Breakdown 3"/>
      <sheetName val="Breakdown_tongan"/>
      <sheetName val="Dataflash"/>
      <sheetName val="NRBTforecast-EMCupdate (2)"/>
      <sheetName val="NRBTforecast-EMCupdate"/>
      <sheetName val="Chart - CPI YOY TonganFeb25"/>
      <sheetName val="Chart_ INFLATION Tongan"/>
      <sheetName val="CPI_2018vs2021"/>
      <sheetName val="Inflation_2018vs2021"/>
      <sheetName val="Chart - CPI YOY"/>
      <sheetName val="Chart - CPI YOY_Tongan"/>
      <sheetName val="Chart - CPI YOY Tongan (2)"/>
      <sheetName val="Chart - CPI YOY Tongan"/>
      <sheetName val="Chart - CPI YOYTonga"/>
      <sheetName val="Chart - CPI YOY Tonga"/>
      <sheetName val="Chart_CORE INFLATION_MPS"/>
      <sheetName val="Chart-Forecasts"/>
      <sheetName val="Chart_ INFLATION"/>
      <sheetName val="Chart_CONTRIMajorgroups"/>
      <sheetName val="Chart_COUNTRIES"/>
      <sheetName val="Chart_HeadlinevsForecast"/>
      <sheetName val="Chart-ContributionInflationYOY"/>
      <sheetName val="Chart-ContributionInflationMoM"/>
      <sheetName val="Chart Headline_DomvsImp"/>
      <sheetName val="Chart Headline_CorevsNoncor"/>
      <sheetName val="Chart_CorevsNoncore2"/>
      <sheetName val="Chart2"/>
      <sheetName val="Chart Core_DomvsImp"/>
      <sheetName val="Chart Core_ImportedContri"/>
      <sheetName val="Chart Core_DomesticContri"/>
      <sheetName val="Chart Non-core"/>
      <sheetName val="Sheet3"/>
      <sheetName val="Chart1"/>
      <sheetName val="Sheet1"/>
      <sheetName val="Summary (2)"/>
      <sheetName val="Point contributionForMPSNov22"/>
      <sheetName val="SourceofInflationMPSTongan"/>
      <sheetName val="Chart_CORE Contribution"/>
      <sheetName val="Sheet5"/>
      <sheetName val="Chart_CORE INFLATION_MPS Tongan"/>
      <sheetName val="Chart_CORE INFLATION_IMF"/>
      <sheetName val="Chart - CPI YOY CPI"/>
      <sheetName val="CPIindextable"/>
      <sheetName val="CPI - All items"/>
      <sheetName val="Chart-Contribution_tongan"/>
      <sheetName val="Chart - CPI YOY Feb22Ton"/>
      <sheetName val="Chart - CPI YOY 'Aok21"/>
      <sheetName val="Chart - CPI"/>
      <sheetName val="Chart - CPI MOM"/>
      <sheetName val="Contrib Domestic"/>
      <sheetName val="Contrib D.Food"/>
      <sheetName val="Chart35"/>
      <sheetName val="Chart-kava index"/>
      <sheetName val="ForecastMPSFeb22"/>
      <sheetName val="ForecastMPSFeb22Ton"/>
    </sheetNames>
    <sheetDataSet>
      <sheetData sheetId="0"/>
      <sheetData sheetId="1">
        <row r="9">
          <cell r="K9">
            <v>98.893563913240214</v>
          </cell>
          <cell r="N9">
            <v>99.612839103160468</v>
          </cell>
          <cell r="Q9">
            <v>100.00152103053041</v>
          </cell>
          <cell r="T9">
            <v>103.55503264796431</v>
          </cell>
          <cell r="W9">
            <v>104.84071059414981</v>
          </cell>
          <cell r="Z9">
            <v>109.47136845306615</v>
          </cell>
          <cell r="AC9">
            <v>114.03745246266249</v>
          </cell>
          <cell r="AF9">
            <v>116.60489484978311</v>
          </cell>
          <cell r="AI9">
            <v>116.37802276200401</v>
          </cell>
          <cell r="AL9">
            <v>124.46552857362911</v>
          </cell>
          <cell r="AO9">
            <v>124.9150650826126</v>
          </cell>
          <cell r="AR9">
            <v>125.29115375362232</v>
          </cell>
          <cell r="AU9">
            <v>125.18665388280161</v>
          </cell>
          <cell r="AX9">
            <v>132.41932793699749</v>
          </cell>
          <cell r="BA9">
            <v>126.22508260386849</v>
          </cell>
          <cell r="BD9">
            <v>132.85545577061853</v>
          </cell>
          <cell r="BG9">
            <v>129.34275654075395</v>
          </cell>
        </row>
        <row r="11">
          <cell r="K11">
            <v>99.700635038396996</v>
          </cell>
          <cell r="N11">
            <v>100.47908042544584</v>
          </cell>
          <cell r="Q11">
            <v>100.00000000000009</v>
          </cell>
          <cell r="T11">
            <v>105.99507001150712</v>
          </cell>
          <cell r="W11">
            <v>106.37096982970948</v>
          </cell>
          <cell r="Z11">
            <v>111.35734030051243</v>
          </cell>
          <cell r="AC11">
            <v>115.72425007518949</v>
          </cell>
          <cell r="AF11">
            <v>119.69814968698202</v>
          </cell>
          <cell r="AI11">
            <v>121.66756787896789</v>
          </cell>
          <cell r="AL11">
            <v>132.5268698818841</v>
          </cell>
          <cell r="AO11">
            <v>131.89014025954572</v>
          </cell>
          <cell r="AR11">
            <v>131.20593011991261</v>
          </cell>
          <cell r="AU11">
            <v>130.32640777760571</v>
          </cell>
          <cell r="AX11">
            <v>148.15275332501537</v>
          </cell>
          <cell r="BA11">
            <v>134.10236164556798</v>
          </cell>
          <cell r="BD11">
            <v>143.58997294972568</v>
          </cell>
          <cell r="BG11">
            <v>131.80335127387022</v>
          </cell>
        </row>
        <row r="12">
          <cell r="K12">
            <v>101.68449490083589</v>
          </cell>
          <cell r="N12">
            <v>98.940663001296684</v>
          </cell>
          <cell r="Q12">
            <v>100</v>
          </cell>
          <cell r="T12">
            <v>98.75190167614744</v>
          </cell>
          <cell r="W12">
            <v>99.343278493740129</v>
          </cell>
          <cell r="Z12">
            <v>101.32127960296202</v>
          </cell>
          <cell r="AC12">
            <v>102.31232047444827</v>
          </cell>
          <cell r="AF12">
            <v>102.5811107210188</v>
          </cell>
          <cell r="AI12">
            <v>101.86478627084539</v>
          </cell>
          <cell r="AL12">
            <v>101.87651782636715</v>
          </cell>
          <cell r="AO12">
            <v>102.49174177800155</v>
          </cell>
          <cell r="AR12">
            <v>106.48428772795977</v>
          </cell>
          <cell r="AU12">
            <v>106.50464327053859</v>
          </cell>
          <cell r="AX12">
            <v>107.98231083610798</v>
          </cell>
          <cell r="BA12">
            <v>124.70147417080915</v>
          </cell>
          <cell r="BD12">
            <v>129.27041922593725</v>
          </cell>
          <cell r="BG12">
            <v>139.84759603790528</v>
          </cell>
        </row>
        <row r="13">
          <cell r="K13">
            <v>99.699384678102177</v>
          </cell>
          <cell r="N13">
            <v>99.790215678227113</v>
          </cell>
          <cell r="Q13">
            <v>100.00000000000003</v>
          </cell>
          <cell r="T13">
            <v>100.00000000000003</v>
          </cell>
          <cell r="W13">
            <v>100.30460119725842</v>
          </cell>
          <cell r="Z13">
            <v>102.36016352346678</v>
          </cell>
          <cell r="AC13">
            <v>102.50437716523835</v>
          </cell>
          <cell r="AF13">
            <v>101.45391077051022</v>
          </cell>
          <cell r="AI13">
            <v>99.098249939210845</v>
          </cell>
          <cell r="AL13">
            <v>109.6318113527405</v>
          </cell>
          <cell r="AO13">
            <v>109.92983259740954</v>
          </cell>
          <cell r="AR13">
            <v>108.15972125281921</v>
          </cell>
          <cell r="AU13">
            <v>106.91941835573581</v>
          </cell>
          <cell r="AX13">
            <v>105.47328945427449</v>
          </cell>
          <cell r="BA13">
            <v>111.35782393587353</v>
          </cell>
          <cell r="BD13">
            <v>117.72189089520712</v>
          </cell>
          <cell r="BG13">
            <v>120.1558731490999</v>
          </cell>
        </row>
        <row r="14">
          <cell r="K14">
            <v>90.000881549727481</v>
          </cell>
          <cell r="N14">
            <v>93.250439931753633</v>
          </cell>
          <cell r="Q14">
            <v>100.02295552697413</v>
          </cell>
          <cell r="T14">
            <v>105.83718910921193</v>
          </cell>
          <cell r="W14">
            <v>114.08536167962349</v>
          </cell>
          <cell r="Z14">
            <v>126.18680340614938</v>
          </cell>
          <cell r="AC14">
            <v>137.48801046542556</v>
          </cell>
          <cell r="AF14">
            <v>139.85207347472547</v>
          </cell>
          <cell r="AI14">
            <v>124.55039561539361</v>
          </cell>
          <cell r="AL14">
            <v>114.73596662890408</v>
          </cell>
          <cell r="AO14">
            <v>117.6833498264326</v>
          </cell>
          <cell r="AR14">
            <v>123.1308029888724</v>
          </cell>
          <cell r="AU14">
            <v>127.75152538066401</v>
          </cell>
          <cell r="AX14">
            <v>116.02697520815393</v>
          </cell>
          <cell r="BA14">
            <v>119.44484789997883</v>
          </cell>
          <cell r="BD14">
            <v>113.99555739656412</v>
          </cell>
          <cell r="BG14">
            <v>114.15356212086789</v>
          </cell>
        </row>
        <row r="15">
          <cell r="K15">
            <v>98.748885085727792</v>
          </cell>
          <cell r="N15">
            <v>98.776876825551142</v>
          </cell>
          <cell r="Q15">
            <v>99.999999999999972</v>
          </cell>
          <cell r="T15">
            <v>101.12476854502373</v>
          </cell>
          <cell r="W15">
            <v>102.02828425671771</v>
          </cell>
          <cell r="Z15">
            <v>104.95110593503681</v>
          </cell>
          <cell r="AC15">
            <v>104.30725033955339</v>
          </cell>
          <cell r="AF15">
            <v>105.11139653577612</v>
          </cell>
          <cell r="AI15">
            <v>106.36390379069486</v>
          </cell>
          <cell r="AL15">
            <v>109.09188489148987</v>
          </cell>
          <cell r="AO15">
            <v>113.44649000826617</v>
          </cell>
          <cell r="AR15">
            <v>113.19001662361524</v>
          </cell>
          <cell r="AU15">
            <v>113.45994320023695</v>
          </cell>
          <cell r="AX15">
            <v>116.36718546377118</v>
          </cell>
          <cell r="BA15">
            <v>119.33040053044567</v>
          </cell>
          <cell r="BD15">
            <v>129.06103304921291</v>
          </cell>
          <cell r="BG15">
            <v>130.15970641765972</v>
          </cell>
        </row>
        <row r="16">
          <cell r="K16">
            <v>100</v>
          </cell>
          <cell r="N16">
            <v>100</v>
          </cell>
          <cell r="Q16">
            <v>100</v>
          </cell>
          <cell r="T16">
            <v>100</v>
          </cell>
          <cell r="W16">
            <v>100</v>
          </cell>
          <cell r="Z16">
            <v>100</v>
          </cell>
          <cell r="AC16">
            <v>129.57088090025422</v>
          </cell>
          <cell r="AF16">
            <v>129.57088090025422</v>
          </cell>
          <cell r="AI16">
            <v>129.57088090025422</v>
          </cell>
          <cell r="AL16">
            <v>129.57088090025422</v>
          </cell>
          <cell r="AO16">
            <v>129.57088090025422</v>
          </cell>
          <cell r="AR16">
            <v>129.57088090025422</v>
          </cell>
          <cell r="AU16">
            <v>129.57088090025422</v>
          </cell>
          <cell r="AX16">
            <v>129.57088090025422</v>
          </cell>
          <cell r="BA16">
            <v>128.07518321930215</v>
          </cell>
          <cell r="BD16">
            <v>128.07518321930215</v>
          </cell>
          <cell r="BG16">
            <v>128.69758883125613</v>
          </cell>
        </row>
        <row r="17">
          <cell r="K17">
            <v>97.57966004098364</v>
          </cell>
          <cell r="N17">
            <v>99.568949050825594</v>
          </cell>
          <cell r="Q17">
            <v>99.999999999999986</v>
          </cell>
          <cell r="T17">
            <v>103.55421599874795</v>
          </cell>
          <cell r="W17">
            <v>106.73125206532319</v>
          </cell>
          <cell r="Z17">
            <v>116.61399326957165</v>
          </cell>
          <cell r="AC17">
            <v>116.58130559761337</v>
          </cell>
          <cell r="AF17">
            <v>116.95440312224237</v>
          </cell>
          <cell r="AI17">
            <v>115.74856607905804</v>
          </cell>
          <cell r="AL17">
            <v>120.38820408262181</v>
          </cell>
          <cell r="AO17">
            <v>122.25806657331057</v>
          </cell>
          <cell r="AR17">
            <v>123.24666761257515</v>
          </cell>
          <cell r="AU17">
            <v>122.61880219539631</v>
          </cell>
          <cell r="AX17">
            <v>123.57357165220502</v>
          </cell>
          <cell r="BA17">
            <v>122.70425758205326</v>
          </cell>
          <cell r="BD17">
            <v>133.28151219025312</v>
          </cell>
          <cell r="BG17">
            <v>123.44549709280899</v>
          </cell>
        </row>
        <row r="18">
          <cell r="K18">
            <v>101.08644099677187</v>
          </cell>
          <cell r="N18">
            <v>100.58059716262322</v>
          </cell>
          <cell r="Q18">
            <v>99.999999999999986</v>
          </cell>
          <cell r="T18">
            <v>99.895270677377425</v>
          </cell>
          <cell r="W18">
            <v>100.1713588251514</v>
          </cell>
          <cell r="Z18">
            <v>99.947178324490324</v>
          </cell>
          <cell r="AC18">
            <v>99.791985786644972</v>
          </cell>
          <cell r="AF18">
            <v>116.46088485354589</v>
          </cell>
          <cell r="AI18">
            <v>116.41778801378042</v>
          </cell>
          <cell r="AL18">
            <v>116.41986546990172</v>
          </cell>
          <cell r="AO18">
            <v>116.26243282063544</v>
          </cell>
          <cell r="AR18">
            <v>116.56539479449455</v>
          </cell>
          <cell r="AU18">
            <v>116.39354551819991</v>
          </cell>
          <cell r="AX18">
            <v>116.31842953794451</v>
          </cell>
          <cell r="BA18">
            <v>115.92010151297418</v>
          </cell>
          <cell r="BD18">
            <v>116.12650119339176</v>
          </cell>
          <cell r="BG18">
            <v>115.64292654822039</v>
          </cell>
        </row>
        <row r="19">
          <cell r="K19">
            <v>99.608265470172157</v>
          </cell>
          <cell r="N19">
            <v>99.592379627925951</v>
          </cell>
          <cell r="Q19">
            <v>100</v>
          </cell>
          <cell r="T19">
            <v>102.17937561327642</v>
          </cell>
          <cell r="W19">
            <v>102.24569001950286</v>
          </cell>
          <cell r="Z19">
            <v>104.65314508350647</v>
          </cell>
          <cell r="AC19">
            <v>105.53539237827954</v>
          </cell>
          <cell r="AF19">
            <v>105.23669989922372</v>
          </cell>
          <cell r="AI19">
            <v>105.73100026483499</v>
          </cell>
          <cell r="AL19">
            <v>111.67919157092092</v>
          </cell>
          <cell r="AO19">
            <v>111.88125096691644</v>
          </cell>
          <cell r="AR19">
            <v>111.89281826820105</v>
          </cell>
          <cell r="AU19">
            <v>113.03213736665541</v>
          </cell>
          <cell r="AX19">
            <v>113.46103952636382</v>
          </cell>
          <cell r="BA19">
            <v>113.46103952636382</v>
          </cell>
          <cell r="BD19">
            <v>120.16263456073348</v>
          </cell>
          <cell r="BG19">
            <v>123.26897824169987</v>
          </cell>
        </row>
        <row r="20">
          <cell r="K20">
            <v>99.999999999999972</v>
          </cell>
          <cell r="N20">
            <v>99.999999999999972</v>
          </cell>
          <cell r="Q20">
            <v>99.999999999999972</v>
          </cell>
          <cell r="T20">
            <v>99.999999999999972</v>
          </cell>
          <cell r="W20">
            <v>99.999999999999972</v>
          </cell>
          <cell r="Z20">
            <v>99.999999999999972</v>
          </cell>
          <cell r="AC20">
            <v>99.999999999999972</v>
          </cell>
          <cell r="AF20">
            <v>99.999999999999972</v>
          </cell>
          <cell r="AI20">
            <v>106.79378143185876</v>
          </cell>
          <cell r="AL20">
            <v>106.79378143185876</v>
          </cell>
          <cell r="AO20">
            <v>106.79378143185876</v>
          </cell>
          <cell r="AR20">
            <v>106.79378143185876</v>
          </cell>
          <cell r="AU20">
            <v>103.76344167779503</v>
          </cell>
          <cell r="AX20">
            <v>103.76344167779503</v>
          </cell>
          <cell r="BA20">
            <v>103.76344167779503</v>
          </cell>
          <cell r="BD20">
            <v>103.76344167779503</v>
          </cell>
          <cell r="BG20">
            <v>106.04794709848716</v>
          </cell>
        </row>
        <row r="21">
          <cell r="K21">
            <v>99.999999999999986</v>
          </cell>
          <cell r="N21">
            <v>99.999999999999986</v>
          </cell>
          <cell r="Q21">
            <v>99.999999999999986</v>
          </cell>
          <cell r="T21">
            <v>99.999999999999986</v>
          </cell>
          <cell r="W21">
            <v>99.999999999999986</v>
          </cell>
          <cell r="Z21">
            <v>99.999999999999986</v>
          </cell>
          <cell r="AC21">
            <v>111.66459711038095</v>
          </cell>
          <cell r="AF21">
            <v>111.66459711038095</v>
          </cell>
          <cell r="AI21">
            <v>111.66459711038095</v>
          </cell>
          <cell r="AL21">
            <v>132.36058403526852</v>
          </cell>
          <cell r="AO21">
            <v>132.36058403526852</v>
          </cell>
          <cell r="AR21">
            <v>132.36058403526852</v>
          </cell>
          <cell r="AU21">
            <v>132.36058403526852</v>
          </cell>
          <cell r="AX21">
            <v>132.36058403526852</v>
          </cell>
          <cell r="BA21">
            <v>121.01565854412819</v>
          </cell>
          <cell r="BD21">
            <v>124.17883073765019</v>
          </cell>
          <cell r="BG21">
            <v>137.95661175667294</v>
          </cell>
        </row>
        <row r="22">
          <cell r="K22">
            <v>98.491093714819115</v>
          </cell>
          <cell r="N22">
            <v>99.965839680212525</v>
          </cell>
          <cell r="Q22">
            <v>99.999999999999986</v>
          </cell>
          <cell r="T22">
            <v>103.16775115902472</v>
          </cell>
          <cell r="W22">
            <v>104.65302453070437</v>
          </cell>
          <cell r="Z22">
            <v>107.13531713205467</v>
          </cell>
          <cell r="AC22">
            <v>109.53106151172396</v>
          </cell>
          <cell r="AF22">
            <v>110.47393762105797</v>
          </cell>
          <cell r="AI22">
            <v>112.16814144322582</v>
          </cell>
          <cell r="AL22">
            <v>111.79479943039188</v>
          </cell>
          <cell r="AO22">
            <v>113.71561966134276</v>
          </cell>
          <cell r="AR22">
            <v>113.71970871414894</v>
          </cell>
          <cell r="AU22">
            <v>115.73526731942812</v>
          </cell>
          <cell r="AX22">
            <v>118.62395538521513</v>
          </cell>
          <cell r="BA22">
            <v>122.29313441459475</v>
          </cell>
          <cell r="BD22">
            <v>127.64345724435884</v>
          </cell>
          <cell r="BG22">
            <v>127.78980816788814</v>
          </cell>
        </row>
        <row r="24">
          <cell r="K24">
            <v>99.635214071720469</v>
          </cell>
          <cell r="N24">
            <v>100.12255687902977</v>
          </cell>
          <cell r="Q24">
            <v>100</v>
          </cell>
          <cell r="T24">
            <v>104.33401976664535</v>
          </cell>
          <cell r="W24">
            <v>104.9181153320431</v>
          </cell>
          <cell r="Z24">
            <v>109.01801045483982</v>
          </cell>
          <cell r="AC24">
            <v>117.73007648285198</v>
          </cell>
          <cell r="AF24">
            <v>123.85103241800441</v>
          </cell>
          <cell r="AI24">
            <v>121.97811407475621</v>
          </cell>
          <cell r="AL24">
            <v>135.57723517461127</v>
          </cell>
          <cell r="AO24">
            <v>134.63934396949026</v>
          </cell>
          <cell r="AR24">
            <v>136.57463320153826</v>
          </cell>
          <cell r="AW24">
            <v>136.07916446517387</v>
          </cell>
          <cell r="AX24">
            <v>149.77741998087083</v>
          </cell>
          <cell r="BA24">
            <v>136.61042583233075</v>
          </cell>
          <cell r="BD24">
            <v>145.76859443091251</v>
          </cell>
          <cell r="BG24">
            <v>140.31828152059401</v>
          </cell>
        </row>
        <row r="25">
          <cell r="K25">
            <v>98.190161037499692</v>
          </cell>
          <cell r="N25">
            <v>99.12847178965437</v>
          </cell>
          <cell r="Q25">
            <v>100</v>
          </cell>
          <cell r="T25">
            <v>102.81622767802045</v>
          </cell>
          <cell r="W25">
            <v>104.76450217556008</v>
          </cell>
          <cell r="Z25">
            <v>109.89632093156403</v>
          </cell>
          <cell r="AC25">
            <v>110.54644886991809</v>
          </cell>
          <cell r="AF25">
            <v>109.75757233757643</v>
          </cell>
          <cell r="AI25">
            <v>111.08537422743143</v>
          </cell>
          <cell r="AL25">
            <v>113.96699862645596</v>
          </cell>
          <cell r="AO25">
            <v>115.72692757517109</v>
          </cell>
          <cell r="AR25">
            <v>114.63036237806732</v>
          </cell>
          <cell r="AX25">
            <v>116.02094057520733</v>
          </cell>
          <cell r="BA25">
            <v>116.41254048689567</v>
          </cell>
          <cell r="BD25">
            <v>120.65881931408681</v>
          </cell>
          <cell r="BG25">
            <v>118.972703949321</v>
          </cell>
        </row>
        <row r="28">
          <cell r="W28">
            <v>6.0136842536356205</v>
          </cell>
          <cell r="Z28">
            <v>9.8968460679009986</v>
          </cell>
          <cell r="AC28">
            <v>14.035717944576964</v>
          </cell>
          <cell r="AF28">
            <v>12.601861897124644</v>
          </cell>
          <cell r="AI28">
            <v>11.004610806689819</v>
          </cell>
          <cell r="AL28">
            <v>13.696878309319249</v>
          </cell>
          <cell r="AO28">
            <v>9.5386317258460362</v>
          </cell>
          <cell r="AR28">
            <v>7.4493089805786727</v>
          </cell>
          <cell r="AU28">
            <v>7.568981592694235</v>
          </cell>
          <cell r="AX28">
            <v>6.3903632230696061</v>
          </cell>
          <cell r="BA28">
            <v>1.0487266050652089</v>
          </cell>
          <cell r="BD28">
            <v>6.0373791687408085</v>
          </cell>
          <cell r="BG28">
            <v>3.3199247116574959</v>
          </cell>
        </row>
        <row r="30">
          <cell r="W30">
            <v>6.6903633951213948</v>
          </cell>
          <cell r="Z30">
            <v>10.826392746635577</v>
          </cell>
          <cell r="AC30">
            <v>15.724250075189389</v>
          </cell>
          <cell r="AF30">
            <v>12.928034930291801</v>
          </cell>
          <cell r="AI30">
            <v>14.380425480511192</v>
          </cell>
          <cell r="AL30">
            <v>19.010448277808095</v>
          </cell>
          <cell r="AO30">
            <v>13.969319458845291</v>
          </cell>
          <cell r="AR30">
            <v>9.6140002690301714</v>
          </cell>
          <cell r="AU30">
            <v>7.1168019954598378</v>
          </cell>
          <cell r="AX30">
            <v>11.790728519475337</v>
          </cell>
          <cell r="BA30">
            <v>1.6773212778975193</v>
          </cell>
          <cell r="BD30">
            <v>9.4386304174628037</v>
          </cell>
          <cell r="BG30">
            <v>1.1332649471815559</v>
          </cell>
        </row>
        <row r="31">
          <cell r="W31">
            <v>-2.302432056508664</v>
          </cell>
          <cell r="Z31">
            <v>2.4061053660355327</v>
          </cell>
          <cell r="AC31">
            <v>2.3123204744482706</v>
          </cell>
          <cell r="AF31">
            <v>3.8776053725315478</v>
          </cell>
          <cell r="AI31">
            <v>2.5381765282330093</v>
          </cell>
          <cell r="AL31">
            <v>0.54799764233229098</v>
          </cell>
          <cell r="AO31">
            <v>0.1753662733102459</v>
          </cell>
          <cell r="AR31">
            <v>3.8049666059437612</v>
          </cell>
          <cell r="AU31">
            <v>4.5549175230745789</v>
          </cell>
          <cell r="AX31">
            <v>5.9933271572426747</v>
          </cell>
          <cell r="BA31">
            <v>21.669777493794726</v>
          </cell>
          <cell r="BD31">
            <v>21.398585635648175</v>
          </cell>
          <cell r="BG31">
            <v>31.306571942286411</v>
          </cell>
        </row>
        <row r="32">
          <cell r="W32">
            <v>0.60704137855043427</v>
          </cell>
          <cell r="Z32">
            <v>2.575350526875738</v>
          </cell>
          <cell r="AC32">
            <v>2.5043771652383242</v>
          </cell>
          <cell r="AF32">
            <v>1.453910770510177</v>
          </cell>
          <cell r="AI32">
            <v>-1.202687856437592</v>
          </cell>
          <cell r="AL32">
            <v>7.1039822319223163</v>
          </cell>
          <cell r="AO32">
            <v>7.244037413349929</v>
          </cell>
          <cell r="AR32">
            <v>6.6097111795696151</v>
          </cell>
          <cell r="AU32">
            <v>7.8923375754089022</v>
          </cell>
          <cell r="AX32">
            <v>-3.7931708389693171</v>
          </cell>
          <cell r="BA32">
            <v>1.2990025589265173</v>
          </cell>
          <cell r="BD32">
            <v>8.8407861370469902</v>
          </cell>
          <cell r="BG32">
            <v>12.379841750845056</v>
          </cell>
        </row>
        <row r="33">
          <cell r="W33">
            <v>26.760271360885284</v>
          </cell>
          <cell r="Z33">
            <v>35.320330390398794</v>
          </cell>
          <cell r="AC33">
            <v>37.45645661145042</v>
          </cell>
          <cell r="AF33">
            <v>32.138877318835483</v>
          </cell>
          <cell r="AI33">
            <v>9.1729857202523561</v>
          </cell>
          <cell r="AL33">
            <v>-9.0745121265884023</v>
          </cell>
          <cell r="AO33">
            <v>-14.404645591968389</v>
          </cell>
          <cell r="AR33">
            <v>-11.95639797852192</v>
          </cell>
          <cell r="AU33">
            <v>2.5701482114559866</v>
          </cell>
          <cell r="AX33">
            <v>1.1251995491748659</v>
          </cell>
          <cell r="BA33">
            <v>1.4968116357532324</v>
          </cell>
          <cell r="BD33">
            <v>-7.4191391354232081</v>
          </cell>
          <cell r="BG33">
            <v>-10.644071152401457</v>
          </cell>
        </row>
        <row r="34">
          <cell r="W34">
            <v>3.3209480473049808</v>
          </cell>
          <cell r="Z34">
            <v>6.2506826576324244</v>
          </cell>
          <cell r="AC34">
            <v>4.3072503395534198</v>
          </cell>
          <cell r="AF34">
            <v>3.9422863934441779</v>
          </cell>
          <cell r="AI34">
            <v>4.2494290338825209</v>
          </cell>
          <cell r="AL34">
            <v>3.9454362291485978</v>
          </cell>
          <cell r="AO34">
            <v>8.7618450673003281</v>
          </cell>
          <cell r="AR34">
            <v>7.6857699108673074</v>
          </cell>
          <cell r="AU34">
            <v>6.6714732692641832</v>
          </cell>
          <cell r="AX34">
            <v>6.6689658717674689</v>
          </cell>
          <cell r="BA34">
            <v>5.1865073320036572</v>
          </cell>
          <cell r="BD34">
            <v>14.021569126871597</v>
          </cell>
          <cell r="BG34">
            <v>14.718642321149922</v>
          </cell>
        </row>
        <row r="35">
          <cell r="W35">
            <v>0</v>
          </cell>
          <cell r="Z35">
            <v>0</v>
          </cell>
          <cell r="AC35">
            <v>29.570880900254224</v>
          </cell>
          <cell r="AF35">
            <v>29.570880900254224</v>
          </cell>
          <cell r="AI35">
            <v>29.570880900254224</v>
          </cell>
          <cell r="AL35">
            <v>29.570880900254224</v>
          </cell>
          <cell r="AO35">
            <v>0</v>
          </cell>
          <cell r="AR35">
            <v>0</v>
          </cell>
          <cell r="AU35">
            <v>0</v>
          </cell>
          <cell r="AX35">
            <v>0</v>
          </cell>
          <cell r="BA35">
            <v>-1.1543470805786171</v>
          </cell>
          <cell r="BD35">
            <v>-1.1543470805786171</v>
          </cell>
          <cell r="BG35">
            <v>-0.67398790756881821</v>
          </cell>
        </row>
        <row r="36">
          <cell r="W36">
            <v>9.3785856811715291</v>
          </cell>
          <cell r="Z36">
            <v>17.118835120018502</v>
          </cell>
          <cell r="AC36">
            <v>16.581305597613365</v>
          </cell>
          <cell r="AF36">
            <v>12.940262252245176</v>
          </cell>
          <cell r="AI36">
            <v>8.448616351109564</v>
          </cell>
          <cell r="AL36">
            <v>3.2364990746225999</v>
          </cell>
          <cell r="AO36">
            <v>4.8693578671102244</v>
          </cell>
          <cell r="AR36">
            <v>5.3801005540219222</v>
          </cell>
          <cell r="AU36">
            <v>5.9354827010520381</v>
          </cell>
          <cell r="AX36">
            <v>2.6459133549306131</v>
          </cell>
          <cell r="BA36">
            <v>0.3649583387408768</v>
          </cell>
          <cell r="BD36">
            <v>8.1420818688765024</v>
          </cell>
          <cell r="BG36">
            <v>0.67419912983268659</v>
          </cell>
        </row>
        <row r="37">
          <cell r="W37">
            <v>-0.90524719497216211</v>
          </cell>
          <cell r="Z37">
            <v>-0.62976245518680685</v>
          </cell>
          <cell r="AC37">
            <v>-0.20801421335501402</v>
          </cell>
          <cell r="AF37">
            <v>16.582981420280561</v>
          </cell>
          <cell r="AI37">
            <v>16.218637122600171</v>
          </cell>
          <cell r="AL37">
            <v>16.481392893284962</v>
          </cell>
          <cell r="AO37">
            <v>16.504779320860735</v>
          </cell>
          <cell r="AR37">
            <v>8.9738233639621967E-2</v>
          </cell>
          <cell r="AU37">
            <v>-2.0823704001003307E-2</v>
          </cell>
          <cell r="AX37">
            <v>-8.7129401453765354E-2</v>
          </cell>
          <cell r="BA37">
            <v>-0.29444705340837629</v>
          </cell>
          <cell r="BD37">
            <v>-0.37652135256485053</v>
          </cell>
          <cell r="BG37">
            <v>-0.64489741818386515</v>
          </cell>
        </row>
        <row r="38">
          <cell r="W38">
            <v>2.6477968840050465</v>
          </cell>
          <cell r="Z38">
            <v>5.0814785975467061</v>
          </cell>
          <cell r="AC38">
            <v>5.5353923782795391</v>
          </cell>
          <cell r="AF38">
            <v>2.992114864274086</v>
          </cell>
          <cell r="AI38">
            <v>3.4087600608566646</v>
          </cell>
          <cell r="AL38">
            <v>6.7136505852816128</v>
          </cell>
          <cell r="AO38">
            <v>6.0130146348353861</v>
          </cell>
          <cell r="AR38">
            <v>6.3249022207569396</v>
          </cell>
          <cell r="AU38">
            <v>6.9053892269367765</v>
          </cell>
          <cell r="AX38">
            <v>1.5955057789895903</v>
          </cell>
          <cell r="BA38">
            <v>1.4120226095027562</v>
          </cell>
          <cell r="BD38">
            <v>7.3908374286454404</v>
          </cell>
          <cell r="BG38">
            <v>9.0565755134206061</v>
          </cell>
        </row>
        <row r="39">
          <cell r="W39">
            <v>0</v>
          </cell>
          <cell r="Z39">
            <v>0</v>
          </cell>
          <cell r="AC39">
            <v>0</v>
          </cell>
          <cell r="AF39">
            <v>0</v>
          </cell>
          <cell r="AI39">
            <v>6.7937814318587755</v>
          </cell>
          <cell r="AL39">
            <v>6.7937814318587755</v>
          </cell>
          <cell r="AO39">
            <v>6.7937814318587755</v>
          </cell>
          <cell r="AR39">
            <v>6.7937814318587755</v>
          </cell>
          <cell r="AU39">
            <v>-2.8375619941852932</v>
          </cell>
          <cell r="AX39">
            <v>-2.8375619941852932</v>
          </cell>
          <cell r="BA39">
            <v>-2.8375619941852932</v>
          </cell>
          <cell r="BD39">
            <v>-2.8375619941852932</v>
          </cell>
          <cell r="BG39">
            <v>2.2016476937859686</v>
          </cell>
        </row>
        <row r="40">
          <cell r="W40">
            <v>0</v>
          </cell>
          <cell r="Z40">
            <v>0</v>
          </cell>
          <cell r="AC40">
            <v>11.664597110380967</v>
          </cell>
          <cell r="AF40">
            <v>11.664597110380967</v>
          </cell>
          <cell r="AI40">
            <v>11.664597110380967</v>
          </cell>
          <cell r="AL40">
            <v>32.360584035268545</v>
          </cell>
          <cell r="AO40">
            <v>18.534063132318906</v>
          </cell>
          <cell r="AR40">
            <v>18.534063132318906</v>
          </cell>
          <cell r="AU40">
            <v>18.534063132318906</v>
          </cell>
          <cell r="AX40">
            <v>0</v>
          </cell>
          <cell r="BA40">
            <v>-8.5712265277685589</v>
          </cell>
          <cell r="BD40">
            <v>-6.1814122060977184</v>
          </cell>
          <cell r="BG40">
            <v>4.2278656914306989</v>
          </cell>
        </row>
        <row r="41">
          <cell r="W41">
            <v>6.2563330180159369</v>
          </cell>
          <cell r="Z41">
            <v>7.1719274051786641</v>
          </cell>
          <cell r="AC41">
            <v>9.5310615117239763</v>
          </cell>
          <cell r="AF41">
            <v>7.0818510435216808</v>
          </cell>
          <cell r="AI41">
            <v>7.1809839669913771</v>
          </cell>
          <cell r="AL41">
            <v>4.3491562101729073</v>
          </cell>
          <cell r="AO41">
            <v>3.8204305626773163</v>
          </cell>
          <cell r="AR41">
            <v>2.9380423681687233</v>
          </cell>
          <cell r="AU41">
            <v>3.1801595625151862</v>
          </cell>
          <cell r="AX41">
            <v>6.1086526292981631</v>
          </cell>
          <cell r="BA41">
            <v>7.5429521281216552</v>
          </cell>
          <cell r="BD41">
            <v>12.243918567545123</v>
          </cell>
          <cell r="BG41">
            <v>10.415615851294181</v>
          </cell>
        </row>
        <row r="43">
          <cell r="W43">
            <v>5.30224309702374</v>
          </cell>
          <cell r="Z43">
            <v>8.8845649303160794</v>
          </cell>
          <cell r="AC43">
            <v>17.730076482851999</v>
          </cell>
          <cell r="AF43">
            <v>18.706278829293701</v>
          </cell>
          <cell r="AI43">
            <v>16.260298508719799</v>
          </cell>
          <cell r="AL43">
            <v>24.362235752571799</v>
          </cell>
          <cell r="AO43">
            <v>14.3627422930462</v>
          </cell>
          <cell r="AR43">
            <v>10.273310230140799</v>
          </cell>
          <cell r="AW43">
            <v>3.8394844450087202</v>
          </cell>
          <cell r="AX43">
            <v>10.473871065427</v>
          </cell>
          <cell r="BA43">
            <v>1.46397167776393</v>
          </cell>
          <cell r="BD43">
            <v>6.7318220183737001</v>
          </cell>
          <cell r="BG43">
            <v>3.1151845119574251</v>
          </cell>
        </row>
        <row r="44">
          <cell r="W44">
            <v>6.6955192542658102</v>
          </cell>
          <cell r="Z44">
            <v>10.8625190598706</v>
          </cell>
          <cell r="AC44">
            <v>10.5464488699181</v>
          </cell>
          <cell r="AF44">
            <v>6.7512150720930002</v>
          </cell>
          <cell r="AI44">
            <v>6.0334100965602699</v>
          </cell>
          <cell r="AL44">
            <v>3.70410734443682</v>
          </cell>
          <cell r="AO44">
            <v>4.6862461510174303</v>
          </cell>
          <cell r="AR44">
            <v>4.4395934938355399</v>
          </cell>
          <cell r="AX44">
            <v>1.80222518229465</v>
          </cell>
          <cell r="BA44">
            <v>0.59244026095761604</v>
          </cell>
          <cell r="BD44">
            <v>5.2559271673344297</v>
          </cell>
          <cell r="BG44">
            <v>3.5489526981653308</v>
          </cell>
        </row>
      </sheetData>
      <sheetData sheetId="2"/>
      <sheetData sheetId="3"/>
      <sheetData sheetId="4">
        <row r="1668">
          <cell r="B1668">
            <v>0.72732254907030836</v>
          </cell>
          <cell r="C1668">
            <v>0.78078277710973509</v>
          </cell>
          <cell r="F1668">
            <v>-2.6983778620477352</v>
          </cell>
          <cell r="J1668">
            <v>9.1104875339212299E-2</v>
          </cell>
          <cell r="M1668">
            <v>3.6105850588037782</v>
          </cell>
          <cell r="Q1668">
            <v>2.8346385682283426E-2</v>
          </cell>
          <cell r="U1668">
            <v>0</v>
          </cell>
          <cell r="X1668">
            <v>2.0386308058528186</v>
          </cell>
          <cell r="AC1668">
            <v>-0.50040720512140524</v>
          </cell>
          <cell r="AF1668">
            <v>-1.594831731203783E-2</v>
          </cell>
          <cell r="AI1668">
            <v>0</v>
          </cell>
          <cell r="AM1668">
            <v>0</v>
          </cell>
          <cell r="AO1668">
            <v>1.4973394139205425</v>
          </cell>
          <cell r="AR1668">
            <v>0.4891270740468201</v>
          </cell>
          <cell r="CH1668">
            <v>0.95560567600692536</v>
          </cell>
        </row>
        <row r="1671">
          <cell r="B1671">
            <v>0.39019260054161009</v>
          </cell>
          <cell r="C1671">
            <v>-0.47679618823863734</v>
          </cell>
          <cell r="F1671">
            <v>1.0706790985314427</v>
          </cell>
          <cell r="J1671">
            <v>0.21022534157995665</v>
          </cell>
          <cell r="M1671">
            <v>7.2627170447421321</v>
          </cell>
          <cell r="Q1671">
            <v>1.2382687262009426</v>
          </cell>
          <cell r="U1671">
            <v>0</v>
          </cell>
          <cell r="X1671">
            <v>0.43291704219390681</v>
          </cell>
          <cell r="AC1671">
            <v>-0.57724569052270169</v>
          </cell>
          <cell r="AF1671">
            <v>0.40928871626213947</v>
          </cell>
          <cell r="AI1671">
            <v>0</v>
          </cell>
          <cell r="AM1671">
            <v>0</v>
          </cell>
          <cell r="AO1671">
            <v>3.4171993049554317E-2</v>
          </cell>
          <cell r="AR1671">
            <v>-0.12240686100120968</v>
          </cell>
          <cell r="CH1671">
            <v>0.87919060448643904</v>
          </cell>
        </row>
        <row r="1674">
          <cell r="B1674">
            <v>3.5534575682594038</v>
          </cell>
          <cell r="C1674">
            <v>5.9950700115070248</v>
          </cell>
          <cell r="F1674">
            <v>-1.2480983238525596</v>
          </cell>
          <cell r="J1674">
            <v>0</v>
          </cell>
          <cell r="M1674">
            <v>5.8128992005938187</v>
          </cell>
          <cell r="Q1674">
            <v>1.1247685450237412</v>
          </cell>
          <cell r="U1674">
            <v>0</v>
          </cell>
          <cell r="X1674">
            <v>3.5542159987479636</v>
          </cell>
          <cell r="AC1674">
            <v>-0.10472932262256052</v>
          </cell>
          <cell r="AF1674">
            <v>2.1793756132764202</v>
          </cell>
          <cell r="AI1674">
            <v>0</v>
          </cell>
          <cell r="AM1674">
            <v>0</v>
          </cell>
          <cell r="AO1674">
            <v>3.1677511590247178</v>
          </cell>
          <cell r="AR1674">
            <v>4.3340197666453548</v>
          </cell>
          <cell r="CH1674">
            <v>2.8162276780204536</v>
          </cell>
        </row>
        <row r="1677">
          <cell r="B1677">
            <v>1.2415407665952642</v>
          </cell>
          <cell r="C1677">
            <v>0.35463896402119133</v>
          </cell>
          <cell r="F1677">
            <v>0.59885106773140251</v>
          </cell>
          <cell r="J1677">
            <v>0.30460119725839263</v>
          </cell>
          <cell r="M1677">
            <v>7.7932649570845882</v>
          </cell>
          <cell r="Q1677">
            <v>0.89346628397149175</v>
          </cell>
          <cell r="U1677">
            <v>0</v>
          </cell>
          <cell r="X1677">
            <v>3.0679929696089374</v>
          </cell>
          <cell r="AC1677">
            <v>0.27637759615831214</v>
          </cell>
          <cell r="AF1677">
            <v>6.4899991635698484E-2</v>
          </cell>
          <cell r="AI1677">
            <v>0</v>
          </cell>
          <cell r="AM1677">
            <v>0</v>
          </cell>
          <cell r="AO1677">
            <v>1.4396682635741769</v>
          </cell>
          <cell r="AR1677">
            <v>0.55983232190625642</v>
          </cell>
          <cell r="CH1677">
            <v>1.8949095308581576</v>
          </cell>
        </row>
        <row r="1680">
          <cell r="B1680">
            <v>4.4168508899583401</v>
          </cell>
          <cell r="C1680">
            <v>4.6877174089751179</v>
          </cell>
          <cell r="F1680">
            <v>1.9910769396910268</v>
          </cell>
          <cell r="J1680">
            <v>2.0493200727311489</v>
          </cell>
          <cell r="M1680">
            <v>10.607357112570995</v>
          </cell>
          <cell r="Q1680">
            <v>2.8647170729293663</v>
          </cell>
          <cell r="U1680">
            <v>0</v>
          </cell>
          <cell r="X1680">
            <v>9.2594633839766942</v>
          </cell>
          <cell r="AC1680">
            <v>-0.22379700474301956</v>
          </cell>
          <cell r="AF1680">
            <v>2.3545785289770294</v>
          </cell>
          <cell r="AI1680">
            <v>0</v>
          </cell>
          <cell r="AM1680">
            <v>0</v>
          </cell>
          <cell r="AO1680">
            <v>2.3719262892607702</v>
          </cell>
          <cell r="AR1680">
            <v>3.9077094644918589</v>
          </cell>
          <cell r="CH1680">
            <v>4.8984328178300842</v>
          </cell>
        </row>
        <row r="1683">
          <cell r="B1683">
            <v>4.17103035626522</v>
          </cell>
          <cell r="C1683">
            <v>3.9215284442789056</v>
          </cell>
          <cell r="F1683">
            <v>0.97811720831965943</v>
          </cell>
          <cell r="J1683">
            <v>0.14088844410503043</v>
          </cell>
          <cell r="M1683">
            <v>8.9559341818824691</v>
          </cell>
          <cell r="Q1683">
            <v>-0.61348147763392546</v>
          </cell>
          <cell r="U1683">
            <v>29.570880900254224</v>
          </cell>
          <cell r="X1683">
            <v>-2.8030659993532936E-2</v>
          </cell>
          <cell r="AC1683">
            <v>-0.15527455646771671</v>
          </cell>
          <cell r="AF1683">
            <v>0.84302033547973565</v>
          </cell>
          <cell r="AI1683">
            <v>0</v>
          </cell>
          <cell r="AM1683">
            <v>11.664597110380967</v>
          </cell>
          <cell r="AO1683">
            <v>2.2361854557412641</v>
          </cell>
          <cell r="AR1683">
            <v>7.9914006792676702</v>
          </cell>
          <cell r="CH1683">
            <v>0.59158298734942605</v>
          </cell>
        </row>
        <row r="1686">
          <cell r="B1686">
            <v>2.2514027906412934</v>
          </cell>
          <cell r="C1686">
            <v>3.4339385299196721</v>
          </cell>
          <cell r="F1686">
            <v>0.26271542403112846</v>
          </cell>
          <cell r="J1686">
            <v>-1.0248014999737762</v>
          </cell>
          <cell r="M1686">
            <v>1.7194684840496706</v>
          </cell>
          <cell r="Q1686">
            <v>0.77093988539145641</v>
          </cell>
          <cell r="U1686">
            <v>0</v>
          </cell>
          <cell r="X1686">
            <v>0.32003203491026966</v>
          </cell>
          <cell r="AC1686">
            <v>16.703645022696506</v>
          </cell>
          <cell r="AF1686">
            <v>-0.28302588574759113</v>
          </cell>
          <cell r="AI1686">
            <v>0</v>
          </cell>
          <cell r="AM1686">
            <v>0</v>
          </cell>
          <cell r="AO1686">
            <v>0.86082988361533808</v>
          </cell>
          <cell r="AR1686">
            <v>5.1991437685373114</v>
          </cell>
          <cell r="CH1686">
            <v>-0.71361544437301916</v>
          </cell>
        </row>
        <row r="1689">
          <cell r="B1689">
            <v>-0.19456480628139161</v>
          </cell>
          <cell r="C1689">
            <v>1.6453204975482265</v>
          </cell>
          <cell r="F1689">
            <v>-0.69830054006877162</v>
          </cell>
          <cell r="J1689">
            <v>-2.3219024416199261</v>
          </cell>
          <cell r="M1689">
            <v>-10.941330706903841</v>
          </cell>
          <cell r="Q1689">
            <v>1.1915998609079708</v>
          </cell>
          <cell r="U1689">
            <v>0</v>
          </cell>
          <cell r="X1689">
            <v>-1.0310317619456981</v>
          </cell>
          <cell r="AC1689">
            <v>-3.7005420162884661E-2</v>
          </cell>
          <cell r="AF1689">
            <v>0.4697034077319131</v>
          </cell>
          <cell r="AI1689">
            <v>6.7937814318587755</v>
          </cell>
          <cell r="AM1689">
            <v>0</v>
          </cell>
          <cell r="AO1689">
            <v>1.5335778362306769</v>
          </cell>
          <cell r="AR1689">
            <v>-1.512234744177988</v>
          </cell>
          <cell r="CH1689">
            <v>1.2097587998494816</v>
          </cell>
        </row>
        <row r="1692">
          <cell r="B1692">
            <v>6.9493411382012056</v>
          </cell>
          <cell r="C1692">
            <v>8.9253875886783618</v>
          </cell>
          <cell r="F1692">
            <v>1.1516791966343476E-2</v>
          </cell>
          <cell r="J1692">
            <v>10.629412143999701</v>
          </cell>
          <cell r="M1692">
            <v>-7.8798858389788506</v>
          </cell>
          <cell r="Q1692">
            <v>2.5647621077947491</v>
          </cell>
          <cell r="U1692">
            <v>0</v>
          </cell>
          <cell r="X1692">
            <v>4.0083762250625341</v>
          </cell>
          <cell r="AC1692">
            <v>1.7844834167846102E-3</v>
          </cell>
          <cell r="AF1692">
            <v>5.6257779564999026</v>
          </cell>
          <cell r="AI1692">
            <v>0</v>
          </cell>
          <cell r="AM1692">
            <v>18.534063132318906</v>
          </cell>
          <cell r="AO1692">
            <v>-0.33284140044605692</v>
          </cell>
          <cell r="AR1692">
            <v>11.148820592127407</v>
          </cell>
          <cell r="CH1692">
            <v>2.5940628269611921</v>
          </cell>
        </row>
        <row r="1695">
          <cell r="B1695">
            <v>0.36117350252327185</v>
          </cell>
          <cell r="C1695">
            <v>-0.48045322650861522</v>
          </cell>
          <cell r="F1695">
            <v>0.60389181409101411</v>
          </cell>
          <cell r="J1695">
            <v>0.27183829309373664</v>
          </cell>
          <cell r="M1695">
            <v>2.5688398190441717</v>
          </cell>
          <cell r="Q1695">
            <v>3.9916856520608093</v>
          </cell>
          <cell r="U1695">
            <v>0</v>
          </cell>
          <cell r="X1695">
            <v>1.5531941064636783</v>
          </cell>
          <cell r="AC1695">
            <v>-0.13522833807687107</v>
          </cell>
          <cell r="AF1695">
            <v>0.18092841929930614</v>
          </cell>
          <cell r="AI1695">
            <v>0</v>
          </cell>
          <cell r="AM1695">
            <v>0</v>
          </cell>
          <cell r="AO1695">
            <v>1.7181659976472048</v>
          </cell>
          <cell r="AR1695">
            <v>-0.69177631769308334</v>
          </cell>
          <cell r="CH1695">
            <v>1.544244360144603</v>
          </cell>
        </row>
        <row r="1698">
          <cell r="B1698">
            <v>0.30107551139728628</v>
          </cell>
          <cell r="C1698">
            <v>-0.5187727742852104</v>
          </cell>
          <cell r="F1698">
            <v>3.8954806316065174</v>
          </cell>
          <cell r="J1698">
            <v>-1.610219266932674</v>
          </cell>
          <cell r="M1698">
            <v>4.6289072927258417</v>
          </cell>
          <cell r="Q1698">
            <v>-0.22607432335036037</v>
          </cell>
          <cell r="U1698">
            <v>0</v>
          </cell>
          <cell r="X1698">
            <v>0.80861825069986537</v>
          </cell>
          <cell r="AC1698">
            <v>0.26058458137248408</v>
          </cell>
          <cell r="AF1698">
            <v>1.0338909499708393E-2</v>
          </cell>
          <cell r="AI1698">
            <v>0</v>
          </cell>
          <cell r="AM1698">
            <v>0</v>
          </cell>
          <cell r="AO1698">
            <v>3.5958585270492449E-3</v>
          </cell>
          <cell r="AR1698">
            <v>1.4373875978529469</v>
          </cell>
          <cell r="CH1698">
            <v>-0.94754541581646379</v>
          </cell>
        </row>
        <row r="1701">
          <cell r="B1701">
            <v>-8.3405625768449454E-2</v>
          </cell>
          <cell r="C1701">
            <v>-0.67033734031920744</v>
          </cell>
          <cell r="F1701">
            <v>1.9116005763052613E-2</v>
          </cell>
          <cell r="J1701">
            <v>-1.1467327048525107</v>
          </cell>
          <cell r="M1701">
            <v>3.7526941103512428</v>
          </cell>
          <cell r="Q1701">
            <v>0.23847207083578326</v>
          </cell>
          <cell r="U1701">
            <v>0</v>
          </cell>
          <cell r="X1701">
            <v>-0.50943804756857958</v>
          </cell>
          <cell r="AC1701">
            <v>-0.14742735320170652</v>
          </cell>
          <cell r="AF1701">
            <v>1.0182236144266739</v>
          </cell>
          <cell r="AI1701">
            <v>-2.8375619941852932</v>
          </cell>
          <cell r="AM1701">
            <v>0</v>
          </cell>
          <cell r="AO1701">
            <v>1.7723916356008118</v>
          </cell>
          <cell r="AR1701">
            <v>-0.36278240310792853</v>
          </cell>
          <cell r="CH1701">
            <v>0.23097523640574025</v>
          </cell>
        </row>
        <row r="1704">
          <cell r="B1704">
            <v>5.7775120828511319</v>
          </cell>
          <cell r="C1704">
            <v>13.67822980115379</v>
          </cell>
          <cell r="F1704">
            <v>1.3874207923647788</v>
          </cell>
          <cell r="J1704">
            <v>-1.3525409356884524</v>
          </cell>
          <cell r="M1704">
            <v>-9.1776204922596349</v>
          </cell>
          <cell r="Q1704">
            <v>2.5623512417976855</v>
          </cell>
          <cell r="U1704">
            <v>0</v>
          </cell>
          <cell r="X1704">
            <v>0.77864849412512172</v>
          </cell>
          <cell r="AC1704">
            <v>-6.4536207674564139E-2</v>
          </cell>
          <cell r="AF1704">
            <v>0.37945151679927847</v>
          </cell>
          <cell r="AI1704">
            <v>0</v>
          </cell>
          <cell r="AM1704">
            <v>0</v>
          </cell>
          <cell r="AO1704">
            <v>2.4959445229553694</v>
          </cell>
          <cell r="AR1704">
            <v>10.066387142759609</v>
          </cell>
          <cell r="CH1704">
            <v>0.9798591510230068</v>
          </cell>
        </row>
        <row r="1707">
          <cell r="B1707">
            <v>-4.6777501665588517</v>
          </cell>
          <cell r="C1707">
            <v>-9.4837195827362279</v>
          </cell>
          <cell r="F1707">
            <v>15.483242769342979</v>
          </cell>
          <cell r="J1707">
            <v>5.5791703397570984</v>
          </cell>
          <cell r="M1707">
            <v>2.9457569549608422</v>
          </cell>
          <cell r="Q1707">
            <v>2.5464352814454259</v>
          </cell>
          <cell r="U1707">
            <v>-1.1543470805786171</v>
          </cell>
          <cell r="X1707">
            <v>-0.70347895470595745</v>
          </cell>
          <cell r="AC1707">
            <v>-0.34244618548635231</v>
          </cell>
          <cell r="AF1707">
            <v>0</v>
          </cell>
          <cell r="AI1707">
            <v>0</v>
          </cell>
          <cell r="AM1707">
            <v>-8.5712265277685589</v>
          </cell>
          <cell r="AO1707">
            <v>3.0931180952991042</v>
          </cell>
          <cell r="AR1707">
            <v>-8.7910408326046365</v>
          </cell>
          <cell r="CH1707">
            <v>0.33752519997412378</v>
          </cell>
        </row>
        <row r="1710">
          <cell r="B1710">
            <v>5.2528174511543853</v>
          </cell>
          <cell r="C1710">
            <v>7.0749024757919017</v>
          </cell>
          <cell r="F1710">
            <v>3.663906209215952</v>
          </cell>
          <cell r="J1710">
            <v>5.7149706544179679</v>
          </cell>
          <cell r="M1710">
            <v>-4.5621812905466186</v>
          </cell>
          <cell r="Q1710">
            <v>8.1543617347404904</v>
          </cell>
          <cell r="U1710">
            <v>0</v>
          </cell>
          <cell r="X1710">
            <v>8.6201202929953524</v>
          </cell>
          <cell r="AC1710">
            <v>0.17805339861133973</v>
          </cell>
          <cell r="AF1710">
            <v>5.9065165120512262</v>
          </cell>
          <cell r="AI1710">
            <v>0</v>
          </cell>
          <cell r="AM1710">
            <v>2.613853638096387</v>
          </cell>
          <cell r="AO1710">
            <v>4.3749985274116767</v>
          </cell>
          <cell r="AR1710">
            <v>6.7038577347105814</v>
          </cell>
          <cell r="CH1710">
            <v>3.6476128855457404</v>
          </cell>
        </row>
        <row r="1713">
          <cell r="B1713">
            <v>-2.6440007371089251</v>
          </cell>
          <cell r="C1713">
            <v>-8.2085269839713959</v>
          </cell>
          <cell r="F1713">
            <v>8.1822097238513294</v>
          </cell>
          <cell r="J1713">
            <v>2.0675697912968758</v>
          </cell>
          <cell r="M1713">
            <v>0.13860603685994022</v>
          </cell>
          <cell r="Q1713">
            <v>0.8512820194363826</v>
          </cell>
          <cell r="U1713">
            <v>0.48596894129617851</v>
          </cell>
          <cell r="X1713">
            <v>-7.3798795765489871</v>
          </cell>
          <cell r="AC1713">
            <v>-0.41642057601136173</v>
          </cell>
          <cell r="AF1713">
            <v>2.5851161572163761</v>
          </cell>
          <cell r="AI1713">
            <v>2.2016476937859721</v>
          </cell>
          <cell r="AM1713">
            <v>11.095112538247974</v>
          </cell>
          <cell r="AO1713">
            <v>0.11465603227051702</v>
          </cell>
          <cell r="AR1713">
            <v>-3.7390172633527783</v>
          </cell>
          <cell r="CH1713">
            <v>-1.3945077207342109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Database"/>
      <sheetName val="Board paper"/>
      <sheetName val="Summary Fuel"/>
      <sheetName val="Summary Fuel (2)"/>
      <sheetName val="Summary Electricity"/>
      <sheetName val="Summary Electricity (2)"/>
      <sheetName val="Chart1"/>
      <sheetName val="Chart6"/>
      <sheetName val="Chart9"/>
      <sheetName val="Chart10"/>
      <sheetName val="Sheet2"/>
      <sheetName val="Table for Presentation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</sheetNames>
    <sheetDataSet>
      <sheetData sheetId="0"/>
      <sheetData sheetId="1"/>
      <sheetData sheetId="2">
        <row r="77">
          <cell r="G77">
            <v>105.69</v>
          </cell>
        </row>
        <row r="80">
          <cell r="G80">
            <v>111.69</v>
          </cell>
        </row>
        <row r="81">
          <cell r="L81">
            <v>2.8975179999999998</v>
          </cell>
        </row>
        <row r="82">
          <cell r="L82">
            <v>3.0726830000000001</v>
          </cell>
        </row>
        <row r="83">
          <cell r="G83">
            <v>112.71</v>
          </cell>
          <cell r="L83">
            <v>3.0240149999999999</v>
          </cell>
        </row>
        <row r="84">
          <cell r="L84">
            <v>2.7060409999999999</v>
          </cell>
        </row>
        <row r="85">
          <cell r="L85">
            <v>2.8764850000000002</v>
          </cell>
        </row>
        <row r="86">
          <cell r="G86">
            <v>117.25</v>
          </cell>
          <cell r="L86">
            <v>3.0996030000000001</v>
          </cell>
        </row>
        <row r="87">
          <cell r="L87">
            <v>2.8797250000000001</v>
          </cell>
        </row>
        <row r="88">
          <cell r="L88">
            <v>2.6421209999999999</v>
          </cell>
        </row>
        <row r="89">
          <cell r="G89">
            <v>105.64</v>
          </cell>
          <cell r="L89">
            <v>3.421017</v>
          </cell>
        </row>
        <row r="90">
          <cell r="L90">
            <v>3.1094179999999998</v>
          </cell>
        </row>
        <row r="91">
          <cell r="L91">
            <v>2.9458880000000001</v>
          </cell>
        </row>
        <row r="92">
          <cell r="G92">
            <v>121.03</v>
          </cell>
          <cell r="L92">
            <v>2.8585219999999998</v>
          </cell>
        </row>
        <row r="93">
          <cell r="L93">
            <v>3.621435</v>
          </cell>
        </row>
        <row r="94">
          <cell r="L94">
            <v>2.9205540000000001</v>
          </cell>
        </row>
        <row r="95">
          <cell r="G95">
            <v>93.77</v>
          </cell>
          <cell r="L95">
            <v>2.4244180000000002</v>
          </cell>
        </row>
        <row r="96">
          <cell r="L96">
            <v>2.8788320000000001</v>
          </cell>
        </row>
        <row r="97">
          <cell r="L97">
            <v>2.8130359999999999</v>
          </cell>
        </row>
        <row r="98">
          <cell r="G98">
            <v>109.52</v>
          </cell>
          <cell r="L98">
            <v>3.6610900000000002</v>
          </cell>
        </row>
        <row r="99">
          <cell r="L99">
            <v>3.1588569999999998</v>
          </cell>
        </row>
        <row r="100">
          <cell r="L100">
            <v>3.119688</v>
          </cell>
        </row>
        <row r="101">
          <cell r="G101">
            <v>112.01</v>
          </cell>
          <cell r="L101">
            <v>3.259147</v>
          </cell>
        </row>
        <row r="102">
          <cell r="L102">
            <v>3.1262110000000001</v>
          </cell>
        </row>
        <row r="103">
          <cell r="L103">
            <v>3.3208820000000001</v>
          </cell>
        </row>
        <row r="104">
          <cell r="G104">
            <v>117.47</v>
          </cell>
          <cell r="L104">
            <v>3.430599</v>
          </cell>
        </row>
        <row r="105">
          <cell r="L105">
            <v>2.548073</v>
          </cell>
        </row>
        <row r="106">
          <cell r="L106">
            <v>2.6630889999999998</v>
          </cell>
        </row>
        <row r="107">
          <cell r="G107">
            <v>107.47</v>
          </cell>
          <cell r="L107">
            <v>3.195017</v>
          </cell>
        </row>
        <row r="108">
          <cell r="L108">
            <v>2.4185880000000002</v>
          </cell>
        </row>
        <row r="109">
          <cell r="L109">
            <v>2.9093429999999998</v>
          </cell>
        </row>
        <row r="110">
          <cell r="G110">
            <v>114.95</v>
          </cell>
          <cell r="L110">
            <v>2.7578149999999999</v>
          </cell>
        </row>
        <row r="111">
          <cell r="L111">
            <v>2.1598440000000001</v>
          </cell>
        </row>
        <row r="112">
          <cell r="L112">
            <v>2.8923230000000002</v>
          </cell>
        </row>
        <row r="113">
          <cell r="G113">
            <v>135.21</v>
          </cell>
          <cell r="L113">
            <v>2.7033830000000001</v>
          </cell>
        </row>
        <row r="114">
          <cell r="L114">
            <v>3.2709030000000001</v>
          </cell>
        </row>
        <row r="115">
          <cell r="L115">
            <v>3.2494320000000001</v>
          </cell>
        </row>
        <row r="116">
          <cell r="G116">
            <v>140.49</v>
          </cell>
          <cell r="L116">
            <v>3.3557160000000001</v>
          </cell>
        </row>
        <row r="117">
          <cell r="L117">
            <v>4.0540669999999999</v>
          </cell>
        </row>
        <row r="118">
          <cell r="L118">
            <v>3.2157840000000002</v>
          </cell>
        </row>
        <row r="119">
          <cell r="G119">
            <v>149.9</v>
          </cell>
          <cell r="K119">
            <v>45.5</v>
          </cell>
          <cell r="L119">
            <v>3.4999280000000002</v>
          </cell>
        </row>
        <row r="120">
          <cell r="L120">
            <v>3.8156810000000001</v>
          </cell>
        </row>
        <row r="121">
          <cell r="L121">
            <v>3.3449610000000001</v>
          </cell>
        </row>
        <row r="122">
          <cell r="G122">
            <v>150.74</v>
          </cell>
          <cell r="K122">
            <v>45.5</v>
          </cell>
          <cell r="L122">
            <v>3.179011</v>
          </cell>
        </row>
        <row r="123">
          <cell r="L123">
            <v>3.355305</v>
          </cell>
        </row>
        <row r="124">
          <cell r="L124">
            <v>3.3098719999999999</v>
          </cell>
        </row>
        <row r="125">
          <cell r="G125">
            <v>158.44999999999999</v>
          </cell>
          <cell r="K125">
            <v>56.499999999999993</v>
          </cell>
          <cell r="L125">
            <v>3.0318109999999998</v>
          </cell>
        </row>
        <row r="126">
          <cell r="L126">
            <v>2.9785149999999998</v>
          </cell>
        </row>
        <row r="127">
          <cell r="L127">
            <v>3.4369809999999998</v>
          </cell>
        </row>
        <row r="128">
          <cell r="G128">
            <v>170.08</v>
          </cell>
          <cell r="K128">
            <v>56.499999999999993</v>
          </cell>
          <cell r="L128">
            <v>3.3462900000000002</v>
          </cell>
        </row>
        <row r="129">
          <cell r="L129">
            <v>3.9448759999999998</v>
          </cell>
        </row>
        <row r="130">
          <cell r="L130">
            <v>3.8720400000000001</v>
          </cell>
        </row>
        <row r="131">
          <cell r="G131">
            <v>175.41</v>
          </cell>
          <cell r="K131">
            <v>56.499999999999993</v>
          </cell>
          <cell r="L131">
            <v>3.1216349999999999</v>
          </cell>
        </row>
        <row r="132">
          <cell r="L132">
            <v>3.769631</v>
          </cell>
        </row>
        <row r="133">
          <cell r="L133">
            <v>3.6007989999999999</v>
          </cell>
        </row>
        <row r="134">
          <cell r="G134">
            <v>171.74</v>
          </cell>
          <cell r="K134">
            <v>56.499999999999993</v>
          </cell>
          <cell r="L134">
            <v>3.2764869999999999</v>
          </cell>
        </row>
        <row r="135">
          <cell r="L135">
            <v>3.274133</v>
          </cell>
        </row>
        <row r="136">
          <cell r="L136">
            <v>3.9639530000000001</v>
          </cell>
        </row>
        <row r="137">
          <cell r="G137">
            <v>190.48</v>
          </cell>
          <cell r="K137">
            <v>56.499999999999993</v>
          </cell>
          <cell r="L137">
            <v>3.3898999999999999</v>
          </cell>
        </row>
        <row r="138">
          <cell r="L138">
            <v>3.7073589999999998</v>
          </cell>
        </row>
        <row r="139">
          <cell r="L139">
            <v>4.1413929999999999</v>
          </cell>
        </row>
        <row r="140">
          <cell r="G140">
            <v>230.48</v>
          </cell>
          <cell r="K140">
            <v>56.499999999999993</v>
          </cell>
          <cell r="L140">
            <v>3.778896</v>
          </cell>
        </row>
        <row r="141">
          <cell r="L141">
            <v>3.8540049999999999</v>
          </cell>
        </row>
        <row r="142">
          <cell r="L142">
            <v>3.579612</v>
          </cell>
        </row>
        <row r="143">
          <cell r="G143">
            <v>209.98</v>
          </cell>
          <cell r="K143">
            <v>56.499999999999993</v>
          </cell>
          <cell r="L143">
            <v>4.3049280000000003</v>
          </cell>
        </row>
        <row r="144">
          <cell r="L144">
            <v>3.7982819999999999</v>
          </cell>
        </row>
        <row r="145">
          <cell r="L145">
            <v>3.8415020000000002</v>
          </cell>
        </row>
        <row r="146">
          <cell r="G146">
            <v>221.98</v>
          </cell>
          <cell r="K146">
            <v>56.499999999999993</v>
          </cell>
          <cell r="L146">
            <v>4.3682629999999998</v>
          </cell>
        </row>
        <row r="147">
          <cell r="L147">
            <v>3.5950700000000002</v>
          </cell>
        </row>
        <row r="148">
          <cell r="L148">
            <v>4.0388060000000001</v>
          </cell>
        </row>
        <row r="149">
          <cell r="G149">
            <v>258.98</v>
          </cell>
          <cell r="K149">
            <v>61.71</v>
          </cell>
          <cell r="L149">
            <v>3.3731990000000001</v>
          </cell>
        </row>
        <row r="150">
          <cell r="L150">
            <v>3.5815980000000001</v>
          </cell>
        </row>
        <row r="151">
          <cell r="L151">
            <v>3.5464479999999998</v>
          </cell>
        </row>
        <row r="152">
          <cell r="G152">
            <v>234.64</v>
          </cell>
          <cell r="K152">
            <v>61.7</v>
          </cell>
          <cell r="L152">
            <v>3.8149799999999998</v>
          </cell>
        </row>
        <row r="153">
          <cell r="L153">
            <v>3.9601329999999999</v>
          </cell>
        </row>
        <row r="154">
          <cell r="L154">
            <v>3.5466150000000001</v>
          </cell>
        </row>
        <row r="155">
          <cell r="G155">
            <v>212.05</v>
          </cell>
          <cell r="K155">
            <v>61.7</v>
          </cell>
          <cell r="L155">
            <v>4.1439859999999999</v>
          </cell>
        </row>
        <row r="156">
          <cell r="L156">
            <v>3.5897929999999998</v>
          </cell>
        </row>
        <row r="157">
          <cell r="L157">
            <v>3.873599</v>
          </cell>
        </row>
        <row r="158">
          <cell r="G158">
            <v>227.83</v>
          </cell>
          <cell r="K158">
            <v>61.7</v>
          </cell>
          <cell r="L158">
            <v>3.827407</v>
          </cell>
        </row>
        <row r="159">
          <cell r="L159">
            <v>3.5923250000000002</v>
          </cell>
        </row>
        <row r="160">
          <cell r="L160">
            <v>3.8940809999999999</v>
          </cell>
        </row>
        <row r="161">
          <cell r="G161">
            <v>258.29000000000002</v>
          </cell>
          <cell r="K161">
            <v>68.5</v>
          </cell>
          <cell r="L161">
            <v>3.570354</v>
          </cell>
        </row>
        <row r="162">
          <cell r="L162">
            <v>3.9518620000000002</v>
          </cell>
        </row>
        <row r="163">
          <cell r="L163">
            <v>4.1629860000000001</v>
          </cell>
        </row>
        <row r="164">
          <cell r="G164">
            <v>265.06</v>
          </cell>
          <cell r="K164">
            <v>68.5</v>
          </cell>
          <cell r="L164">
            <v>4.2014089999999999</v>
          </cell>
        </row>
        <row r="165">
          <cell r="L165">
            <v>4.0475399999999997</v>
          </cell>
        </row>
        <row r="166">
          <cell r="L166">
            <v>4.3422349999999996</v>
          </cell>
        </row>
        <row r="167">
          <cell r="G167">
            <v>286.39</v>
          </cell>
          <cell r="K167">
            <v>83.15</v>
          </cell>
          <cell r="L167">
            <v>3.8760940000000002</v>
          </cell>
        </row>
        <row r="168">
          <cell r="L168">
            <v>4.0325249999999997</v>
          </cell>
        </row>
        <row r="169">
          <cell r="L169">
            <v>3.9887549999999998</v>
          </cell>
        </row>
        <row r="170">
          <cell r="G170">
            <v>308.74</v>
          </cell>
          <cell r="K170">
            <v>83.15</v>
          </cell>
          <cell r="L170">
            <v>3.6409910000000001</v>
          </cell>
        </row>
        <row r="171">
          <cell r="L171">
            <v>4.0422570000000002</v>
          </cell>
        </row>
        <row r="172">
          <cell r="L172">
            <v>3.559428</v>
          </cell>
        </row>
        <row r="173">
          <cell r="G173">
            <v>342.85</v>
          </cell>
          <cell r="K173">
            <v>102.60000000000001</v>
          </cell>
          <cell r="L173">
            <v>3.5921630000000002</v>
          </cell>
        </row>
        <row r="174">
          <cell r="L174">
            <v>3.8163459999999998</v>
          </cell>
        </row>
        <row r="175">
          <cell r="L175">
            <v>3.388506</v>
          </cell>
        </row>
        <row r="176">
          <cell r="G176">
            <v>273.89999999999998</v>
          </cell>
          <cell r="K176">
            <v>102.60000000000001</v>
          </cell>
          <cell r="L176">
            <v>4.2414240000000003</v>
          </cell>
        </row>
        <row r="177">
          <cell r="L177">
            <v>3.818791</v>
          </cell>
        </row>
        <row r="178">
          <cell r="L178">
            <v>3.706213</v>
          </cell>
        </row>
        <row r="179">
          <cell r="G179">
            <v>206.82</v>
          </cell>
          <cell r="K179">
            <v>103</v>
          </cell>
          <cell r="L179">
            <v>3.9727459999999999</v>
          </cell>
        </row>
        <row r="180">
          <cell r="L180">
            <v>3.4655840000000002</v>
          </cell>
        </row>
        <row r="181">
          <cell r="L181">
            <v>3.4989720000000002</v>
          </cell>
        </row>
        <row r="182">
          <cell r="G182">
            <v>220.38</v>
          </cell>
          <cell r="K182">
            <v>62.79</v>
          </cell>
          <cell r="L182">
            <v>3.4362810000000001</v>
          </cell>
        </row>
        <row r="183">
          <cell r="L183">
            <v>3.6432380000000002</v>
          </cell>
        </row>
        <row r="184">
          <cell r="L184">
            <v>3.152647</v>
          </cell>
        </row>
        <row r="185">
          <cell r="G185">
            <v>243.3</v>
          </cell>
          <cell r="K185">
            <v>62.79</v>
          </cell>
          <cell r="L185">
            <v>3.5008439999999998</v>
          </cell>
        </row>
        <row r="186">
          <cell r="L186">
            <v>3.526653</v>
          </cell>
        </row>
        <row r="187">
          <cell r="L187">
            <v>3.3465509999999998</v>
          </cell>
        </row>
        <row r="188">
          <cell r="G188">
            <v>236.52</v>
          </cell>
          <cell r="K188">
            <v>83.14</v>
          </cell>
          <cell r="L188">
            <v>3.9851100000000002</v>
          </cell>
        </row>
        <row r="189">
          <cell r="L189">
            <v>3.5413334999999999</v>
          </cell>
        </row>
        <row r="190">
          <cell r="L190">
            <v>3.2274419999999999</v>
          </cell>
        </row>
        <row r="191">
          <cell r="G191">
            <v>245.51</v>
          </cell>
          <cell r="K191">
            <v>86.89</v>
          </cell>
          <cell r="L191">
            <v>4.0621520000000002</v>
          </cell>
        </row>
        <row r="192">
          <cell r="L192">
            <v>3.5501900000000002</v>
          </cell>
        </row>
        <row r="193">
          <cell r="L193">
            <v>3.4785279999999998</v>
          </cell>
        </row>
        <row r="194">
          <cell r="G194">
            <v>251.39</v>
          </cell>
          <cell r="K194">
            <v>89.21</v>
          </cell>
          <cell r="L194">
            <v>3.5362369999999999</v>
          </cell>
        </row>
        <row r="195">
          <cell r="L195">
            <v>3.536241</v>
          </cell>
        </row>
        <row r="196">
          <cell r="L196">
            <v>3.5362450000000001</v>
          </cell>
        </row>
        <row r="197">
          <cell r="G197">
            <v>245.38</v>
          </cell>
          <cell r="K197">
            <v>84.86</v>
          </cell>
          <cell r="L197">
            <v>3.5362490000000002</v>
          </cell>
        </row>
        <row r="198">
          <cell r="L198">
            <v>3.5730970000000002</v>
          </cell>
        </row>
        <row r="199">
          <cell r="L199">
            <v>3.4758580000000001</v>
          </cell>
        </row>
        <row r="200">
          <cell r="G200">
            <v>250.67</v>
          </cell>
          <cell r="K200">
            <v>84.86</v>
          </cell>
          <cell r="L200">
            <v>4.3293549999999996</v>
          </cell>
        </row>
        <row r="201">
          <cell r="L201">
            <v>3.5618129999999999</v>
          </cell>
        </row>
        <row r="202">
          <cell r="L202">
            <v>3.5774170000000001</v>
          </cell>
        </row>
        <row r="203">
          <cell r="G203">
            <v>279.60000000000002</v>
          </cell>
          <cell r="K203">
            <v>84.86</v>
          </cell>
          <cell r="L203">
            <v>4.2338820000000004</v>
          </cell>
        </row>
        <row r="204">
          <cell r="L204">
            <v>3.849917</v>
          </cell>
        </row>
        <row r="205">
          <cell r="L205">
            <v>3.6538910000000002</v>
          </cell>
        </row>
        <row r="206">
          <cell r="G206">
            <v>290.3</v>
          </cell>
          <cell r="K206">
            <v>98</v>
          </cell>
          <cell r="L206">
            <v>3.7067320000000001</v>
          </cell>
        </row>
        <row r="207">
          <cell r="L207">
            <v>3.574738</v>
          </cell>
        </row>
        <row r="208">
          <cell r="L208">
            <v>3.4835039999999999</v>
          </cell>
        </row>
        <row r="209">
          <cell r="G209">
            <v>272.07</v>
          </cell>
          <cell r="K209">
            <v>98</v>
          </cell>
          <cell r="L209">
            <v>3.439657</v>
          </cell>
        </row>
        <row r="210">
          <cell r="L210">
            <v>3.5383239999999998</v>
          </cell>
        </row>
        <row r="211">
          <cell r="L211">
            <v>3.743344</v>
          </cell>
        </row>
        <row r="212">
          <cell r="G212">
            <v>270.58999999999997</v>
          </cell>
          <cell r="K212">
            <v>93.28</v>
          </cell>
          <cell r="L212">
            <v>4.2718259999999999</v>
          </cell>
        </row>
        <row r="213">
          <cell r="L213">
            <v>3.7804419999999999</v>
          </cell>
        </row>
        <row r="214">
          <cell r="L214">
            <v>3.641664</v>
          </cell>
        </row>
        <row r="215">
          <cell r="G215">
            <v>287</v>
          </cell>
          <cell r="K215">
            <v>93.28</v>
          </cell>
          <cell r="L215">
            <v>4.2851140000000001</v>
          </cell>
        </row>
        <row r="216">
          <cell r="L216">
            <v>3.5140259999999999</v>
          </cell>
        </row>
        <row r="217">
          <cell r="L217">
            <v>3.9640909999999998</v>
          </cell>
        </row>
        <row r="218">
          <cell r="G218">
            <v>283.94</v>
          </cell>
          <cell r="K218">
            <v>93.2</v>
          </cell>
          <cell r="L218">
            <v>3.4782289999999998</v>
          </cell>
        </row>
        <row r="219">
          <cell r="L219">
            <v>3.4944190000000002</v>
          </cell>
        </row>
        <row r="220">
          <cell r="L220">
            <v>3.8257720000000002</v>
          </cell>
        </row>
        <row r="221">
          <cell r="G221">
            <v>287.52</v>
          </cell>
          <cell r="K221">
            <v>85.27</v>
          </cell>
          <cell r="L221">
            <v>3.3330869999999999</v>
          </cell>
        </row>
        <row r="222">
          <cell r="L222">
            <v>3.9353639999999999</v>
          </cell>
        </row>
        <row r="223">
          <cell r="L223">
            <v>3.7288649999999999</v>
          </cell>
        </row>
        <row r="224">
          <cell r="G224">
            <v>280.08999999999997</v>
          </cell>
          <cell r="K224">
            <v>85.27</v>
          </cell>
          <cell r="L224">
            <v>4.1225100000000001</v>
          </cell>
        </row>
        <row r="225">
          <cell r="L225">
            <v>4.1337429999999999</v>
          </cell>
        </row>
        <row r="226">
          <cell r="L226">
            <v>3.7205059999999999</v>
          </cell>
        </row>
        <row r="227">
          <cell r="G227">
            <v>297.62</v>
          </cell>
          <cell r="K227">
            <v>85.27</v>
          </cell>
          <cell r="L227">
            <v>4.2343770000000003</v>
          </cell>
        </row>
        <row r="228">
          <cell r="L228">
            <v>3.7011449999999999</v>
          </cell>
        </row>
        <row r="229">
          <cell r="L229">
            <v>4.5149619999999997</v>
          </cell>
        </row>
        <row r="230">
          <cell r="G230">
            <v>275.45</v>
          </cell>
          <cell r="K230">
            <v>89.25</v>
          </cell>
          <cell r="L230">
            <v>3.6435810000000002</v>
          </cell>
        </row>
        <row r="231">
          <cell r="L231">
            <v>3.7395160000000001</v>
          </cell>
        </row>
        <row r="232">
          <cell r="L232">
            <v>3.8814069999999998</v>
          </cell>
        </row>
        <row r="233">
          <cell r="G233">
            <v>285.89</v>
          </cell>
          <cell r="K233">
            <v>92.74</v>
          </cell>
          <cell r="L233">
            <v>3.6087829999999999</v>
          </cell>
        </row>
        <row r="234">
          <cell r="L234">
            <v>3.971209</v>
          </cell>
        </row>
        <row r="235">
          <cell r="L235">
            <v>4.2345750000000004</v>
          </cell>
        </row>
        <row r="236">
          <cell r="G236">
            <v>279.52999999999997</v>
          </cell>
          <cell r="K236">
            <v>92.820000000000007</v>
          </cell>
          <cell r="L236">
            <v>4.317024</v>
          </cell>
        </row>
        <row r="237">
          <cell r="L237">
            <v>4.3057040000000004</v>
          </cell>
        </row>
        <row r="238">
          <cell r="L238">
            <v>4.1854100000000001</v>
          </cell>
        </row>
        <row r="239">
          <cell r="G239">
            <v>289.75</v>
          </cell>
          <cell r="K239">
            <v>91.73</v>
          </cell>
          <cell r="L239">
            <v>3.7411789999999998</v>
          </cell>
        </row>
        <row r="240">
          <cell r="L240">
            <v>4.051107</v>
          </cell>
        </row>
        <row r="241">
          <cell r="L241">
            <v>4.1220780000000001</v>
          </cell>
        </row>
        <row r="242">
          <cell r="G242">
            <v>288.54000000000002</v>
          </cell>
          <cell r="K242">
            <v>91.73</v>
          </cell>
          <cell r="L242">
            <v>3.6598280000000001</v>
          </cell>
        </row>
        <row r="243">
          <cell r="L243">
            <v>3.7963960000000001</v>
          </cell>
        </row>
        <row r="244">
          <cell r="L244">
            <v>3.6471239999999998</v>
          </cell>
        </row>
        <row r="245">
          <cell r="G245">
            <v>274.37</v>
          </cell>
          <cell r="K245">
            <v>91.73</v>
          </cell>
          <cell r="L245">
            <v>3.8555139999999999</v>
          </cell>
        </row>
        <row r="246">
          <cell r="L246">
            <v>4.276764</v>
          </cell>
        </row>
        <row r="247">
          <cell r="L247">
            <v>3.706394</v>
          </cell>
        </row>
        <row r="248">
          <cell r="G248">
            <v>253.21</v>
          </cell>
          <cell r="K248">
            <v>88.69</v>
          </cell>
          <cell r="L248">
            <v>4.57829</v>
          </cell>
        </row>
        <row r="249">
          <cell r="L249">
            <v>4.1827699999999997</v>
          </cell>
        </row>
        <row r="250">
          <cell r="L250">
            <v>4.3966940000000001</v>
          </cell>
        </row>
        <row r="251">
          <cell r="G251">
            <v>225.2</v>
          </cell>
          <cell r="K251">
            <v>75</v>
          </cell>
          <cell r="L251">
            <v>4.6502189999999999</v>
          </cell>
        </row>
        <row r="252">
          <cell r="L252">
            <v>3.9239790000000001</v>
          </cell>
        </row>
        <row r="253">
          <cell r="L253">
            <v>4.050217</v>
          </cell>
        </row>
        <row r="254">
          <cell r="G254">
            <v>250.08</v>
          </cell>
          <cell r="K254">
            <v>80.150000000000006</v>
          </cell>
          <cell r="L254">
            <v>4.0955060000000003</v>
          </cell>
        </row>
        <row r="255">
          <cell r="L255">
            <v>4.2613659999999998</v>
          </cell>
        </row>
        <row r="256">
          <cell r="L256">
            <v>3.8129680000000001</v>
          </cell>
        </row>
        <row r="257">
          <cell r="G257">
            <v>237.79</v>
          </cell>
          <cell r="K257">
            <v>81.36</v>
          </cell>
          <cell r="L257">
            <v>4.0759590000000001</v>
          </cell>
        </row>
        <row r="258">
          <cell r="L258">
            <v>4.3279160000000001</v>
          </cell>
        </row>
        <row r="259">
          <cell r="L259">
            <v>3.9107639999999999</v>
          </cell>
        </row>
        <row r="260">
          <cell r="G260">
            <v>222.46</v>
          </cell>
          <cell r="K260">
            <v>78.680000000000007</v>
          </cell>
          <cell r="L260">
            <v>5.0412780000000001</v>
          </cell>
        </row>
        <row r="261">
          <cell r="L261">
            <v>4.3540020000000004</v>
          </cell>
        </row>
        <row r="262">
          <cell r="L262">
            <v>4.6152430000000004</v>
          </cell>
        </row>
        <row r="263">
          <cell r="G263">
            <v>198.5</v>
          </cell>
          <cell r="K263">
            <v>69.989999999999995</v>
          </cell>
          <cell r="L263">
            <v>5.022653</v>
          </cell>
        </row>
        <row r="264">
          <cell r="L264">
            <v>4.4288080000000001</v>
          </cell>
        </row>
        <row r="265">
          <cell r="L265">
            <v>4.8047510000000004</v>
          </cell>
        </row>
        <row r="266">
          <cell r="G266">
            <v>225.12</v>
          </cell>
          <cell r="K266">
            <v>69.989999999999995</v>
          </cell>
          <cell r="L266">
            <v>4.6862269999999997</v>
          </cell>
        </row>
        <row r="267">
          <cell r="L267">
            <v>4.7775119999999998</v>
          </cell>
        </row>
        <row r="268">
          <cell r="L268">
            <v>4.4980099999999998</v>
          </cell>
        </row>
        <row r="269">
          <cell r="G269">
            <v>227.36</v>
          </cell>
          <cell r="K269">
            <v>72.11</v>
          </cell>
          <cell r="L269">
            <v>4.5814399999999997</v>
          </cell>
        </row>
        <row r="270">
          <cell r="L270">
            <v>4.6739620000000004</v>
          </cell>
        </row>
        <row r="271">
          <cell r="L271">
            <v>5.0146940000000004</v>
          </cell>
        </row>
        <row r="272">
          <cell r="G272">
            <v>236.72</v>
          </cell>
          <cell r="K272">
            <v>73.989999999999995</v>
          </cell>
          <cell r="L272">
            <v>5.2369029999999999</v>
          </cell>
        </row>
        <row r="273">
          <cell r="L273">
            <v>5.2061999999999999</v>
          </cell>
        </row>
        <row r="274">
          <cell r="L274">
            <v>4.9081890000000001</v>
          </cell>
        </row>
        <row r="275">
          <cell r="G275">
            <v>256.25</v>
          </cell>
          <cell r="K275">
            <v>83.02000000000001</v>
          </cell>
          <cell r="L275">
            <v>5.3911920000000002</v>
          </cell>
        </row>
        <row r="276">
          <cell r="L276">
            <v>4.9305349999999999</v>
          </cell>
        </row>
        <row r="277">
          <cell r="L277">
            <v>5.1728310000000004</v>
          </cell>
        </row>
        <row r="278">
          <cell r="G278">
            <v>249.53</v>
          </cell>
          <cell r="K278">
            <v>85.86</v>
          </cell>
          <cell r="L278">
            <v>4.8882070000000004</v>
          </cell>
        </row>
        <row r="279">
          <cell r="L279">
            <v>4.0432800000000002</v>
          </cell>
        </row>
        <row r="280">
          <cell r="L280">
            <v>4.7220170000000001</v>
          </cell>
        </row>
        <row r="281">
          <cell r="G281">
            <v>246.87</v>
          </cell>
          <cell r="K281">
            <v>81.2</v>
          </cell>
          <cell r="L281">
            <v>4.5058860000000003</v>
          </cell>
        </row>
        <row r="282">
          <cell r="L282">
            <v>5.1196809999999999</v>
          </cell>
        </row>
        <row r="283">
          <cell r="L283">
            <v>5.2813230000000004</v>
          </cell>
        </row>
        <row r="284">
          <cell r="G284">
            <v>267.86</v>
          </cell>
          <cell r="K284">
            <v>81.2</v>
          </cell>
          <cell r="L284">
            <v>5.2257699999999998</v>
          </cell>
        </row>
        <row r="285">
          <cell r="L285">
            <v>4.4852020000000001</v>
          </cell>
        </row>
        <row r="286">
          <cell r="K286">
            <v>81.2</v>
          </cell>
          <cell r="L286">
            <v>6.0502180000000001</v>
          </cell>
        </row>
        <row r="287">
          <cell r="G287">
            <v>267.39999999999998</v>
          </cell>
          <cell r="L287">
            <v>4.0123150000000001</v>
          </cell>
        </row>
        <row r="288">
          <cell r="L288">
            <v>4.4970650000000001</v>
          </cell>
        </row>
        <row r="289">
          <cell r="L289">
            <v>5.1612999999999998</v>
          </cell>
        </row>
        <row r="290">
          <cell r="G290">
            <v>290.43</v>
          </cell>
          <cell r="K290">
            <v>81.2</v>
          </cell>
          <cell r="L290">
            <v>4.7764660000000001</v>
          </cell>
        </row>
        <row r="291">
          <cell r="L291">
            <v>4.636018</v>
          </cell>
        </row>
        <row r="292">
          <cell r="L292">
            <v>4.9788399999999999</v>
          </cell>
        </row>
        <row r="293">
          <cell r="G293">
            <v>284.82</v>
          </cell>
          <cell r="K293">
            <v>81.2</v>
          </cell>
          <cell r="L293">
            <v>4.570036</v>
          </cell>
        </row>
        <row r="294">
          <cell r="L294">
            <v>5.1583040000000002</v>
          </cell>
        </row>
        <row r="295">
          <cell r="L295">
            <v>5.5840360000000002</v>
          </cell>
        </row>
        <row r="296">
          <cell r="G296">
            <v>257.26</v>
          </cell>
          <cell r="K296">
            <v>81.2</v>
          </cell>
          <cell r="L296">
            <v>5.755382</v>
          </cell>
        </row>
        <row r="297">
          <cell r="L297">
            <v>5.4314200000000001</v>
          </cell>
        </row>
        <row r="298">
          <cell r="L298">
            <v>5.4749489999999996</v>
          </cell>
        </row>
        <row r="299">
          <cell r="G299">
            <v>257.06</v>
          </cell>
          <cell r="K299">
            <v>79.900000000000006</v>
          </cell>
          <cell r="L299">
            <v>5.6281299999999996</v>
          </cell>
        </row>
        <row r="300">
          <cell r="L300">
            <v>5.2834919999999999</v>
          </cell>
        </row>
        <row r="301">
          <cell r="L301">
            <v>5.571167</v>
          </cell>
        </row>
        <row r="302">
          <cell r="G302">
            <v>275.89</v>
          </cell>
          <cell r="K302">
            <v>79.900000000000006</v>
          </cell>
          <cell r="L302">
            <v>4.7201690000000003</v>
          </cell>
        </row>
        <row r="303">
          <cell r="L303">
            <v>5.1451919999999998</v>
          </cell>
        </row>
        <row r="304">
          <cell r="L304">
            <v>5.1642520000000003</v>
          </cell>
        </row>
        <row r="305">
          <cell r="G305">
            <v>270.74</v>
          </cell>
          <cell r="K305">
            <v>79.900000000000006</v>
          </cell>
          <cell r="L305">
            <v>4.8820319999999997</v>
          </cell>
        </row>
        <row r="306">
          <cell r="L306">
            <v>5.6565479999999999</v>
          </cell>
        </row>
        <row r="307">
          <cell r="L307">
            <v>5.2076890000000002</v>
          </cell>
        </row>
        <row r="308">
          <cell r="G308">
            <v>283.18</v>
          </cell>
          <cell r="K308">
            <v>79.900000000000006</v>
          </cell>
          <cell r="L308">
            <v>6.1514980000000001</v>
          </cell>
        </row>
        <row r="309">
          <cell r="L309">
            <v>6.301399</v>
          </cell>
        </row>
        <row r="310">
          <cell r="L310">
            <v>5.4681689999999996</v>
          </cell>
        </row>
        <row r="311">
          <cell r="G311">
            <v>261.57</v>
          </cell>
          <cell r="K311">
            <v>79.900000000000006</v>
          </cell>
          <cell r="L311">
            <v>5.6162039999999998</v>
          </cell>
        </row>
        <row r="312">
          <cell r="L312">
            <v>5.1631280000000004</v>
          </cell>
        </row>
        <row r="313">
          <cell r="L313">
            <v>5.3388429999999998</v>
          </cell>
        </row>
        <row r="314">
          <cell r="G314">
            <v>196.58</v>
          </cell>
          <cell r="K314">
            <v>73</v>
          </cell>
          <cell r="L314">
            <v>5.0869629999999999</v>
          </cell>
        </row>
        <row r="315">
          <cell r="L315">
            <v>5.2730969999999999</v>
          </cell>
        </row>
        <row r="316">
          <cell r="L316">
            <v>4.9938209999999996</v>
          </cell>
        </row>
        <row r="317">
          <cell r="G317">
            <v>243.6</v>
          </cell>
          <cell r="K317">
            <v>61.02</v>
          </cell>
          <cell r="L317">
            <v>5.3060010000000002</v>
          </cell>
        </row>
        <row r="318">
          <cell r="L318">
            <v>5.490964</v>
          </cell>
        </row>
        <row r="319">
          <cell r="L319">
            <v>5.0876159999999997</v>
          </cell>
        </row>
        <row r="320">
          <cell r="G320">
            <v>242.28</v>
          </cell>
          <cell r="K320">
            <v>63.82</v>
          </cell>
          <cell r="L320">
            <v>6.44876</v>
          </cell>
        </row>
        <row r="321">
          <cell r="L321">
            <v>5.6955900000000002</v>
          </cell>
        </row>
        <row r="322">
          <cell r="L322">
            <v>5.5936700000000004</v>
          </cell>
        </row>
        <row r="323">
          <cell r="G323">
            <v>279.52</v>
          </cell>
          <cell r="K323">
            <v>68.930000000000007</v>
          </cell>
          <cell r="L323">
            <v>6.9599140000000004</v>
          </cell>
        </row>
        <row r="324">
          <cell r="L324">
            <v>5.7204730000000001</v>
          </cell>
        </row>
        <row r="325">
          <cell r="L325">
            <v>5.639977</v>
          </cell>
        </row>
        <row r="326">
          <cell r="G326">
            <v>289.76</v>
          </cell>
          <cell r="K326">
            <v>73.040000000000006</v>
          </cell>
          <cell r="L326">
            <v>5.0544799999999999</v>
          </cell>
        </row>
        <row r="327">
          <cell r="L327">
            <v>5.7547220000000001</v>
          </cell>
        </row>
        <row r="328">
          <cell r="L328">
            <v>5.3820459999999999</v>
          </cell>
        </row>
        <row r="329">
          <cell r="G329">
            <v>296.83999999999997</v>
          </cell>
          <cell r="K329">
            <v>80.709999999999994</v>
          </cell>
          <cell r="L329">
            <v>5.7100010000000001</v>
          </cell>
        </row>
        <row r="330">
          <cell r="L330">
            <v>5.7511710000000003</v>
          </cell>
        </row>
        <row r="331">
          <cell r="L331">
            <v>5.7142439999999999</v>
          </cell>
        </row>
        <row r="332">
          <cell r="G332">
            <v>320</v>
          </cell>
          <cell r="K332">
            <v>84.12</v>
          </cell>
          <cell r="L332">
            <v>6.7171890000000003</v>
          </cell>
        </row>
        <row r="333">
          <cell r="L333">
            <v>5.3195670000000002</v>
          </cell>
        </row>
        <row r="334">
          <cell r="L334">
            <v>6.5215709999999998</v>
          </cell>
        </row>
        <row r="335">
          <cell r="G335">
            <v>351</v>
          </cell>
          <cell r="K335">
            <v>91.01</v>
          </cell>
          <cell r="L335">
            <v>6.4930349999999999</v>
          </cell>
        </row>
        <row r="336">
          <cell r="L336">
            <v>5.237323</v>
          </cell>
        </row>
        <row r="337">
          <cell r="L337">
            <v>5.4157450000000003</v>
          </cell>
        </row>
        <row r="338">
          <cell r="G338">
            <v>428</v>
          </cell>
          <cell r="K338">
            <v>97.91</v>
          </cell>
          <cell r="L338">
            <v>5.5087429999999999</v>
          </cell>
        </row>
        <row r="339">
          <cell r="L339">
            <v>5.5353450000000004</v>
          </cell>
        </row>
        <row r="340">
          <cell r="L340">
            <v>5.4035219999999997</v>
          </cell>
        </row>
        <row r="341">
          <cell r="G341">
            <v>350</v>
          </cell>
          <cell r="K341">
            <v>116.72</v>
          </cell>
          <cell r="L341">
            <v>5.554424</v>
          </cell>
        </row>
        <row r="342">
          <cell r="L342">
            <v>5.6391819999999999</v>
          </cell>
        </row>
        <row r="343">
          <cell r="L343">
            <v>6.3726089999999997</v>
          </cell>
        </row>
        <row r="344">
          <cell r="G344">
            <v>352</v>
          </cell>
          <cell r="K344">
            <v>119.86</v>
          </cell>
          <cell r="L344">
            <v>7.2262950000000004</v>
          </cell>
        </row>
        <row r="345">
          <cell r="L345">
            <v>6.0892629999999999</v>
          </cell>
        </row>
        <row r="346">
          <cell r="L346">
            <v>6.3491530000000003</v>
          </cell>
        </row>
        <row r="347">
          <cell r="G347">
            <v>352</v>
          </cell>
          <cell r="K347">
            <v>101.73</v>
          </cell>
          <cell r="L347">
            <v>6.1959580000000001</v>
          </cell>
        </row>
        <row r="348">
          <cell r="L348">
            <v>6.1604380000000001</v>
          </cell>
        </row>
        <row r="349">
          <cell r="L349">
            <v>6.3377800000000004</v>
          </cell>
        </row>
        <row r="350">
          <cell r="G350">
            <v>335</v>
          </cell>
          <cell r="K350">
            <v>91.86</v>
          </cell>
          <cell r="L350">
            <v>5.5793220000000003</v>
          </cell>
        </row>
        <row r="351">
          <cell r="L351">
            <v>5.385586</v>
          </cell>
        </row>
        <row r="352">
          <cell r="L352">
            <v>5.6120400000000004</v>
          </cell>
        </row>
        <row r="353">
          <cell r="G353">
            <v>369</v>
          </cell>
          <cell r="K353">
            <v>87.58</v>
          </cell>
          <cell r="L353">
            <v>5.5860810000000001</v>
          </cell>
        </row>
        <row r="354">
          <cell r="L354">
            <v>5.9827500000000002</v>
          </cell>
        </row>
        <row r="355">
          <cell r="L355">
            <v>6.4408529999999997</v>
          </cell>
        </row>
        <row r="356">
          <cell r="G356">
            <v>351</v>
          </cell>
          <cell r="K356">
            <v>99.01</v>
          </cell>
          <cell r="L356">
            <v>7.0138290000000003</v>
          </cell>
        </row>
        <row r="357">
          <cell r="L357">
            <v>6.7528160000000002</v>
          </cell>
        </row>
        <row r="358">
          <cell r="L358">
            <v>6.5776110000000001</v>
          </cell>
        </row>
        <row r="359">
          <cell r="G359">
            <v>360</v>
          </cell>
          <cell r="K359">
            <v>106.18</v>
          </cell>
          <cell r="L359">
            <v>7.0242129999999996</v>
          </cell>
        </row>
        <row r="360">
          <cell r="L360">
            <v>6.9000060000000003</v>
          </cell>
        </row>
        <row r="361">
          <cell r="L361">
            <v>6.7090899999999998</v>
          </cell>
        </row>
        <row r="362">
          <cell r="G362">
            <v>355</v>
          </cell>
          <cell r="K362">
            <v>90.03</v>
          </cell>
          <cell r="L362">
            <v>5.9770149999999997</v>
          </cell>
        </row>
        <row r="363">
          <cell r="L363">
            <v>6.1759870000000001</v>
          </cell>
        </row>
        <row r="364">
          <cell r="L364">
            <v>6.081016</v>
          </cell>
        </row>
        <row r="365">
          <cell r="G365">
            <v>330</v>
          </cell>
          <cell r="K365">
            <v>96.03</v>
          </cell>
          <cell r="L365">
            <v>5.775309</v>
          </cell>
        </row>
        <row r="366">
          <cell r="L366">
            <v>6.6869329999999998</v>
          </cell>
        </row>
        <row r="367">
          <cell r="L367">
            <v>6.4315509999999998</v>
          </cell>
        </row>
        <row r="368">
          <cell r="G368">
            <v>325</v>
          </cell>
          <cell r="K368">
            <v>91.69</v>
          </cell>
          <cell r="L368">
            <v>7.7112350000000003</v>
          </cell>
        </row>
        <row r="369">
          <cell r="L369">
            <v>7.3813110000000002</v>
          </cell>
        </row>
        <row r="370">
          <cell r="L370">
            <v>6.965497</v>
          </cell>
        </row>
        <row r="371">
          <cell r="G371">
            <v>330</v>
          </cell>
          <cell r="K371">
            <v>89.47</v>
          </cell>
          <cell r="L371">
            <v>7.4897270000000002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Database"/>
      <sheetName val="Summary 1"/>
      <sheetName val="Summary 2"/>
      <sheetName val="Summary 3"/>
      <sheetName val="DatabaseTonga"/>
      <sheetName val="Total Components_1 year_TO"/>
      <sheetName val="Total Components_1 year rolling"/>
      <sheetName val="Total Components_1yr'Aok21"/>
      <sheetName val="Total Components_1yr rollin(Ton"/>
      <sheetName val="ContainerReg_countries"/>
      <sheetName val="Total Components_1 year rol_tra"/>
      <sheetName val="Tables for chart"/>
      <sheetName val="Volume"/>
      <sheetName val="Total Components"/>
      <sheetName val="Database_TONGAN"/>
      <sheetName val="Database_Tonga"/>
      <sheetName val="Container reg_1 yr"/>
      <sheetName val="OET import"/>
      <sheetName val="Wholesale&amp;retailpayment"/>
      <sheetName val="OET_1 yr rolling"/>
      <sheetName val="Container reg_quarterly"/>
      <sheetName val="Container_OET"/>
      <sheetName val="Container(Tonga)"/>
      <sheetName val="Cargo vessels"/>
      <sheetName val="ContainerReg_countries (2)"/>
      <sheetName val="Import indicators_OET&amp;Trade"/>
      <sheetName val="Import indicators_Trade"/>
      <sheetName val="Import indicator_OET"/>
      <sheetName val="Container Reg_Average"/>
      <sheetName val="Container Reg_3months_yearly"/>
      <sheetName val="Business container Reg"/>
      <sheetName val="Business container Reg_3mths_yr"/>
      <sheetName val="Private container Reg"/>
      <sheetName val="Private container Reg_3mths_yr"/>
      <sheetName val="cruise ships"/>
    </sheetNames>
    <sheetDataSet>
      <sheetData sheetId="0"/>
      <sheetData sheetId="1">
        <row r="62">
          <cell r="C62">
            <v>439</v>
          </cell>
        </row>
        <row r="63">
          <cell r="C63">
            <v>411</v>
          </cell>
        </row>
        <row r="64">
          <cell r="C64">
            <v>442</v>
          </cell>
        </row>
        <row r="65">
          <cell r="C65">
            <v>395</v>
          </cell>
        </row>
        <row r="66">
          <cell r="C66">
            <v>406</v>
          </cell>
        </row>
        <row r="67">
          <cell r="C67">
            <v>623</v>
          </cell>
        </row>
        <row r="68">
          <cell r="C68">
            <v>318</v>
          </cell>
        </row>
        <row r="69">
          <cell r="C69">
            <v>328</v>
          </cell>
        </row>
        <row r="70">
          <cell r="C70">
            <v>386</v>
          </cell>
        </row>
        <row r="71">
          <cell r="C71">
            <v>381</v>
          </cell>
        </row>
        <row r="72">
          <cell r="C72">
            <v>384</v>
          </cell>
        </row>
        <row r="73">
          <cell r="C73">
            <v>581</v>
          </cell>
        </row>
        <row r="74">
          <cell r="C74">
            <v>379</v>
          </cell>
        </row>
        <row r="75">
          <cell r="C75">
            <v>448</v>
          </cell>
        </row>
        <row r="76">
          <cell r="C76">
            <v>392</v>
          </cell>
        </row>
        <row r="77">
          <cell r="C77">
            <v>586</v>
          </cell>
        </row>
        <row r="78">
          <cell r="C78">
            <v>482</v>
          </cell>
        </row>
        <row r="79">
          <cell r="C79">
            <v>645</v>
          </cell>
        </row>
        <row r="80">
          <cell r="C80">
            <v>327</v>
          </cell>
        </row>
        <row r="81">
          <cell r="C81">
            <v>339</v>
          </cell>
        </row>
        <row r="82">
          <cell r="C82">
            <v>286</v>
          </cell>
        </row>
        <row r="83">
          <cell r="C83">
            <v>499</v>
          </cell>
        </row>
        <row r="84">
          <cell r="C84">
            <v>532</v>
          </cell>
        </row>
        <row r="85">
          <cell r="C85">
            <v>602</v>
          </cell>
        </row>
        <row r="86">
          <cell r="C86">
            <v>447</v>
          </cell>
        </row>
        <row r="87">
          <cell r="C87">
            <v>375</v>
          </cell>
        </row>
        <row r="88">
          <cell r="C88">
            <v>564</v>
          </cell>
        </row>
        <row r="89">
          <cell r="C89">
            <v>447</v>
          </cell>
        </row>
        <row r="90">
          <cell r="C90">
            <v>691</v>
          </cell>
        </row>
        <row r="91">
          <cell r="C91">
            <v>457</v>
          </cell>
        </row>
        <row r="92">
          <cell r="C92">
            <v>535</v>
          </cell>
        </row>
        <row r="93">
          <cell r="C93">
            <v>212</v>
          </cell>
        </row>
        <row r="94">
          <cell r="C94">
            <v>396</v>
          </cell>
        </row>
        <row r="95">
          <cell r="C95">
            <v>419</v>
          </cell>
        </row>
        <row r="96">
          <cell r="C96">
            <v>386</v>
          </cell>
        </row>
        <row r="97">
          <cell r="C97">
            <v>507</v>
          </cell>
        </row>
        <row r="98">
          <cell r="C98">
            <v>410</v>
          </cell>
        </row>
        <row r="99">
          <cell r="C99">
            <v>426</v>
          </cell>
        </row>
        <row r="100">
          <cell r="C100">
            <v>583</v>
          </cell>
        </row>
        <row r="101">
          <cell r="C101">
            <v>528</v>
          </cell>
        </row>
        <row r="102">
          <cell r="C102">
            <v>526</v>
          </cell>
        </row>
        <row r="103">
          <cell r="C103">
            <v>655</v>
          </cell>
        </row>
        <row r="104">
          <cell r="C104">
            <v>316</v>
          </cell>
        </row>
        <row r="105">
          <cell r="C105">
            <v>391</v>
          </cell>
        </row>
        <row r="106">
          <cell r="C106">
            <v>312</v>
          </cell>
        </row>
        <row r="107">
          <cell r="C107">
            <v>447</v>
          </cell>
        </row>
        <row r="108">
          <cell r="C108">
            <v>384</v>
          </cell>
        </row>
        <row r="109">
          <cell r="C109">
            <v>548</v>
          </cell>
        </row>
        <row r="110">
          <cell r="C110">
            <v>448</v>
          </cell>
        </row>
        <row r="111">
          <cell r="C111">
            <v>480</v>
          </cell>
        </row>
        <row r="112">
          <cell r="C112">
            <v>615</v>
          </cell>
        </row>
        <row r="113">
          <cell r="C113">
            <v>461</v>
          </cell>
        </row>
        <row r="114">
          <cell r="C114">
            <v>661</v>
          </cell>
        </row>
        <row r="115">
          <cell r="C115">
            <v>606</v>
          </cell>
        </row>
        <row r="116">
          <cell r="C116">
            <v>596</v>
          </cell>
        </row>
        <row r="117">
          <cell r="C117">
            <v>396</v>
          </cell>
        </row>
        <row r="118">
          <cell r="C118">
            <v>541</v>
          </cell>
        </row>
        <row r="119">
          <cell r="C119">
            <v>516</v>
          </cell>
        </row>
        <row r="120">
          <cell r="C120">
            <v>514</v>
          </cell>
        </row>
        <row r="121">
          <cell r="C121">
            <v>517</v>
          </cell>
        </row>
        <row r="122">
          <cell r="C122">
            <v>419</v>
          </cell>
        </row>
        <row r="123">
          <cell r="C123">
            <v>526</v>
          </cell>
        </row>
        <row r="124">
          <cell r="C124">
            <v>427</v>
          </cell>
        </row>
        <row r="125">
          <cell r="C125">
            <v>677</v>
          </cell>
        </row>
        <row r="126">
          <cell r="C126">
            <v>604</v>
          </cell>
        </row>
        <row r="127">
          <cell r="C127">
            <v>794</v>
          </cell>
        </row>
        <row r="128">
          <cell r="C128">
            <v>448</v>
          </cell>
        </row>
        <row r="129">
          <cell r="C129">
            <v>369</v>
          </cell>
        </row>
        <row r="130">
          <cell r="C130">
            <v>378</v>
          </cell>
        </row>
        <row r="131">
          <cell r="C131">
            <v>448</v>
          </cell>
        </row>
        <row r="132">
          <cell r="C132">
            <v>594</v>
          </cell>
        </row>
        <row r="133">
          <cell r="C133">
            <v>413</v>
          </cell>
        </row>
        <row r="134">
          <cell r="C134">
            <v>480</v>
          </cell>
        </row>
        <row r="135">
          <cell r="C135">
            <v>476</v>
          </cell>
        </row>
        <row r="136">
          <cell r="C136">
            <v>720</v>
          </cell>
        </row>
        <row r="137">
          <cell r="C137">
            <v>476</v>
          </cell>
        </row>
        <row r="138">
          <cell r="C138">
            <v>685</v>
          </cell>
        </row>
        <row r="139">
          <cell r="C139">
            <v>581</v>
          </cell>
        </row>
        <row r="140">
          <cell r="C140">
            <v>310</v>
          </cell>
        </row>
        <row r="141">
          <cell r="C141">
            <v>423</v>
          </cell>
        </row>
        <row r="142">
          <cell r="C142">
            <v>481</v>
          </cell>
        </row>
        <row r="143">
          <cell r="C143">
            <v>324</v>
          </cell>
        </row>
        <row r="144">
          <cell r="C144">
            <v>563</v>
          </cell>
        </row>
        <row r="145">
          <cell r="C145">
            <v>467</v>
          </cell>
        </row>
        <row r="146">
          <cell r="C146">
            <v>529</v>
          </cell>
        </row>
        <row r="147">
          <cell r="C147">
            <v>451</v>
          </cell>
        </row>
        <row r="148">
          <cell r="C148">
            <v>480</v>
          </cell>
        </row>
        <row r="149">
          <cell r="C149">
            <v>580</v>
          </cell>
        </row>
        <row r="150">
          <cell r="C150">
            <v>584</v>
          </cell>
        </row>
        <row r="151">
          <cell r="C151">
            <v>675</v>
          </cell>
        </row>
        <row r="152">
          <cell r="C152">
            <v>437</v>
          </cell>
        </row>
        <row r="153">
          <cell r="C153">
            <v>357</v>
          </cell>
        </row>
        <row r="154">
          <cell r="C154">
            <v>433</v>
          </cell>
        </row>
        <row r="155">
          <cell r="C155">
            <v>368</v>
          </cell>
        </row>
        <row r="156">
          <cell r="C156">
            <v>566</v>
          </cell>
        </row>
        <row r="157">
          <cell r="C157">
            <v>469</v>
          </cell>
        </row>
        <row r="158">
          <cell r="C158">
            <v>558</v>
          </cell>
        </row>
        <row r="159">
          <cell r="C159">
            <v>356</v>
          </cell>
        </row>
        <row r="160">
          <cell r="C160">
            <v>409</v>
          </cell>
        </row>
        <row r="161">
          <cell r="C161">
            <v>474</v>
          </cell>
        </row>
        <row r="162">
          <cell r="C162">
            <v>342</v>
          </cell>
        </row>
        <row r="163">
          <cell r="C163">
            <v>756</v>
          </cell>
        </row>
        <row r="164">
          <cell r="C164">
            <v>413</v>
          </cell>
        </row>
        <row r="165">
          <cell r="C165">
            <v>198</v>
          </cell>
        </row>
        <row r="166">
          <cell r="C166">
            <v>398</v>
          </cell>
        </row>
        <row r="167">
          <cell r="C167">
            <v>464</v>
          </cell>
        </row>
        <row r="168">
          <cell r="C168">
            <v>342</v>
          </cell>
        </row>
        <row r="169">
          <cell r="C169">
            <v>431</v>
          </cell>
        </row>
        <row r="170">
          <cell r="C170">
            <v>372</v>
          </cell>
        </row>
        <row r="171">
          <cell r="C171">
            <v>306</v>
          </cell>
        </row>
        <row r="172">
          <cell r="C172">
            <v>512</v>
          </cell>
        </row>
        <row r="173">
          <cell r="C173">
            <v>564</v>
          </cell>
        </row>
        <row r="174">
          <cell r="C174">
            <v>522</v>
          </cell>
        </row>
        <row r="175">
          <cell r="C175">
            <v>597</v>
          </cell>
        </row>
        <row r="176">
          <cell r="C176">
            <v>337</v>
          </cell>
        </row>
        <row r="177">
          <cell r="C177">
            <v>342</v>
          </cell>
        </row>
        <row r="178">
          <cell r="C178">
            <v>354</v>
          </cell>
        </row>
        <row r="179">
          <cell r="C179">
            <v>396</v>
          </cell>
        </row>
        <row r="180">
          <cell r="C180">
            <v>435</v>
          </cell>
        </row>
        <row r="181">
          <cell r="C181">
            <v>365</v>
          </cell>
        </row>
        <row r="182">
          <cell r="C182">
            <v>544</v>
          </cell>
        </row>
        <row r="183">
          <cell r="C183">
            <v>519</v>
          </cell>
        </row>
        <row r="184">
          <cell r="C184">
            <v>329</v>
          </cell>
        </row>
        <row r="185">
          <cell r="C185">
            <v>627</v>
          </cell>
        </row>
        <row r="186">
          <cell r="C186">
            <v>617</v>
          </cell>
        </row>
        <row r="187">
          <cell r="C187">
            <v>713</v>
          </cell>
        </row>
        <row r="188">
          <cell r="C188">
            <v>500</v>
          </cell>
        </row>
        <row r="189">
          <cell r="C189">
            <v>299</v>
          </cell>
        </row>
        <row r="190">
          <cell r="C190">
            <v>414</v>
          </cell>
        </row>
        <row r="191">
          <cell r="C191">
            <v>449</v>
          </cell>
        </row>
        <row r="192">
          <cell r="C192">
            <v>496</v>
          </cell>
        </row>
        <row r="193">
          <cell r="C193">
            <v>509</v>
          </cell>
        </row>
        <row r="194">
          <cell r="C194">
            <v>472</v>
          </cell>
        </row>
        <row r="195">
          <cell r="C195">
            <v>293</v>
          </cell>
        </row>
        <row r="196">
          <cell r="C196">
            <v>580</v>
          </cell>
        </row>
        <row r="197">
          <cell r="C197">
            <v>769</v>
          </cell>
        </row>
        <row r="198">
          <cell r="C198">
            <v>493</v>
          </cell>
        </row>
        <row r="199">
          <cell r="C199">
            <v>893</v>
          </cell>
        </row>
        <row r="200">
          <cell r="C200">
            <v>434</v>
          </cell>
        </row>
        <row r="201">
          <cell r="C201">
            <v>297</v>
          </cell>
        </row>
        <row r="202">
          <cell r="C202">
            <v>340</v>
          </cell>
        </row>
        <row r="203">
          <cell r="C203">
            <v>574</v>
          </cell>
        </row>
        <row r="204">
          <cell r="C204">
            <v>411</v>
          </cell>
        </row>
        <row r="205">
          <cell r="C205">
            <v>358</v>
          </cell>
        </row>
        <row r="206">
          <cell r="C206">
            <v>635</v>
          </cell>
        </row>
        <row r="207">
          <cell r="C207">
            <v>424</v>
          </cell>
        </row>
        <row r="208">
          <cell r="C208">
            <v>506</v>
          </cell>
        </row>
        <row r="209">
          <cell r="C209">
            <v>530</v>
          </cell>
        </row>
        <row r="210">
          <cell r="C210">
            <v>727</v>
          </cell>
        </row>
        <row r="211">
          <cell r="C211">
            <v>629</v>
          </cell>
        </row>
        <row r="212">
          <cell r="C212">
            <v>397</v>
          </cell>
        </row>
        <row r="213">
          <cell r="C213">
            <v>485</v>
          </cell>
        </row>
        <row r="214">
          <cell r="C214">
            <v>284</v>
          </cell>
        </row>
        <row r="215">
          <cell r="C215">
            <v>656</v>
          </cell>
        </row>
        <row r="216">
          <cell r="C216">
            <v>461</v>
          </cell>
        </row>
        <row r="217">
          <cell r="C217">
            <v>507</v>
          </cell>
        </row>
        <row r="218">
          <cell r="C218">
            <v>680</v>
          </cell>
        </row>
        <row r="219">
          <cell r="C219">
            <v>574</v>
          </cell>
        </row>
        <row r="220">
          <cell r="C220">
            <v>600</v>
          </cell>
        </row>
        <row r="221">
          <cell r="C221">
            <v>576</v>
          </cell>
        </row>
        <row r="222">
          <cell r="C222">
            <v>745</v>
          </cell>
        </row>
        <row r="223">
          <cell r="C223">
            <v>784</v>
          </cell>
        </row>
        <row r="224">
          <cell r="C224">
            <v>387</v>
          </cell>
        </row>
        <row r="225">
          <cell r="C225">
            <v>692</v>
          </cell>
        </row>
        <row r="226">
          <cell r="C226">
            <v>505</v>
          </cell>
        </row>
        <row r="227">
          <cell r="C227">
            <v>484</v>
          </cell>
        </row>
        <row r="228">
          <cell r="C228">
            <v>447</v>
          </cell>
        </row>
        <row r="229">
          <cell r="C229">
            <v>855</v>
          </cell>
        </row>
        <row r="230">
          <cell r="C230">
            <v>560</v>
          </cell>
        </row>
        <row r="231">
          <cell r="C231">
            <v>612</v>
          </cell>
        </row>
        <row r="232">
          <cell r="C232">
            <v>684</v>
          </cell>
        </row>
        <row r="233">
          <cell r="C233">
            <v>656</v>
          </cell>
        </row>
        <row r="234">
          <cell r="C234">
            <v>798</v>
          </cell>
        </row>
        <row r="235">
          <cell r="C235">
            <v>1056</v>
          </cell>
        </row>
        <row r="236">
          <cell r="C236">
            <v>451</v>
          </cell>
        </row>
        <row r="237">
          <cell r="C237">
            <v>469</v>
          </cell>
        </row>
        <row r="238">
          <cell r="C238">
            <v>648</v>
          </cell>
        </row>
        <row r="239">
          <cell r="C239">
            <v>684</v>
          </cell>
        </row>
        <row r="240">
          <cell r="C240">
            <v>760</v>
          </cell>
        </row>
        <row r="241">
          <cell r="C241">
            <v>1072</v>
          </cell>
        </row>
        <row r="242">
          <cell r="C242">
            <v>669</v>
          </cell>
        </row>
        <row r="243">
          <cell r="C243">
            <v>607</v>
          </cell>
        </row>
        <row r="244">
          <cell r="C244">
            <v>753</v>
          </cell>
        </row>
        <row r="245">
          <cell r="C245">
            <v>704</v>
          </cell>
        </row>
        <row r="246">
          <cell r="C246">
            <v>962</v>
          </cell>
        </row>
        <row r="247">
          <cell r="C247">
            <v>1290</v>
          </cell>
        </row>
        <row r="248">
          <cell r="C248">
            <v>661</v>
          </cell>
        </row>
        <row r="249">
          <cell r="C249">
            <v>610</v>
          </cell>
        </row>
        <row r="250">
          <cell r="C250">
            <v>985</v>
          </cell>
        </row>
        <row r="251">
          <cell r="C251">
            <v>799</v>
          </cell>
        </row>
        <row r="252">
          <cell r="C252">
            <v>867</v>
          </cell>
        </row>
        <row r="253">
          <cell r="C253">
            <v>932</v>
          </cell>
        </row>
        <row r="254">
          <cell r="C254">
            <v>731</v>
          </cell>
        </row>
        <row r="255">
          <cell r="C255">
            <v>793</v>
          </cell>
        </row>
        <row r="256">
          <cell r="C256">
            <v>809</v>
          </cell>
        </row>
        <row r="257">
          <cell r="C257">
            <v>805</v>
          </cell>
        </row>
        <row r="258">
          <cell r="C258">
            <v>1091</v>
          </cell>
        </row>
        <row r="259">
          <cell r="C259">
            <v>1259</v>
          </cell>
        </row>
        <row r="260">
          <cell r="C260">
            <v>647</v>
          </cell>
        </row>
        <row r="261">
          <cell r="C261">
            <v>890</v>
          </cell>
        </row>
        <row r="262">
          <cell r="C262">
            <v>869</v>
          </cell>
        </row>
        <row r="263">
          <cell r="C263">
            <v>853</v>
          </cell>
        </row>
        <row r="264">
          <cell r="C264">
            <v>1062</v>
          </cell>
        </row>
        <row r="265">
          <cell r="C265">
            <v>1017</v>
          </cell>
        </row>
        <row r="266">
          <cell r="C266">
            <v>812</v>
          </cell>
        </row>
        <row r="267">
          <cell r="C267">
            <v>1189</v>
          </cell>
        </row>
        <row r="268">
          <cell r="C268">
            <v>1093</v>
          </cell>
        </row>
        <row r="269">
          <cell r="C269">
            <v>1025</v>
          </cell>
        </row>
        <row r="270">
          <cell r="C270">
            <v>1005</v>
          </cell>
        </row>
        <row r="271">
          <cell r="C271">
            <v>1254</v>
          </cell>
        </row>
        <row r="272">
          <cell r="C272">
            <v>723</v>
          </cell>
        </row>
        <row r="273">
          <cell r="C273">
            <v>539</v>
          </cell>
        </row>
        <row r="274">
          <cell r="C274">
            <v>1032</v>
          </cell>
        </row>
        <row r="275">
          <cell r="C275">
            <v>941</v>
          </cell>
        </row>
        <row r="276">
          <cell r="C276">
            <v>1046</v>
          </cell>
        </row>
        <row r="277">
          <cell r="C277">
            <v>1024</v>
          </cell>
        </row>
        <row r="278">
          <cell r="C278">
            <v>1184</v>
          </cell>
        </row>
        <row r="279">
          <cell r="C279">
            <v>1249</v>
          </cell>
        </row>
        <row r="280">
          <cell r="C280">
            <v>1140</v>
          </cell>
        </row>
        <row r="281">
          <cell r="C281">
            <v>1260</v>
          </cell>
        </row>
        <row r="282">
          <cell r="C282">
            <v>1353</v>
          </cell>
        </row>
        <row r="283">
          <cell r="C283">
            <v>1123</v>
          </cell>
        </row>
        <row r="284">
          <cell r="C284">
            <v>1154</v>
          </cell>
        </row>
        <row r="285">
          <cell r="C285">
            <v>814</v>
          </cell>
        </row>
        <row r="286">
          <cell r="C286">
            <v>975</v>
          </cell>
        </row>
        <row r="287">
          <cell r="C287">
            <v>1050</v>
          </cell>
        </row>
        <row r="288">
          <cell r="C288">
            <v>1042</v>
          </cell>
        </row>
        <row r="289">
          <cell r="C289">
            <v>1312</v>
          </cell>
        </row>
        <row r="290">
          <cell r="C290">
            <v>909</v>
          </cell>
        </row>
        <row r="291">
          <cell r="C291">
            <v>970</v>
          </cell>
        </row>
        <row r="292">
          <cell r="C292">
            <v>1286</v>
          </cell>
        </row>
        <row r="293">
          <cell r="C293">
            <v>892</v>
          </cell>
        </row>
        <row r="294">
          <cell r="C294">
            <v>1130</v>
          </cell>
        </row>
        <row r="295">
          <cell r="C295">
            <v>1461</v>
          </cell>
        </row>
        <row r="296">
          <cell r="C296">
            <v>838</v>
          </cell>
        </row>
        <row r="297">
          <cell r="C297">
            <v>591</v>
          </cell>
        </row>
        <row r="298">
          <cell r="C298">
            <v>670</v>
          </cell>
        </row>
        <row r="299">
          <cell r="C299">
            <v>885</v>
          </cell>
        </row>
        <row r="300">
          <cell r="C300">
            <v>796</v>
          </cell>
        </row>
        <row r="301">
          <cell r="C301">
            <v>747</v>
          </cell>
        </row>
        <row r="302">
          <cell r="C302">
            <v>843</v>
          </cell>
        </row>
        <row r="303">
          <cell r="C303">
            <v>1076</v>
          </cell>
        </row>
        <row r="304">
          <cell r="C304">
            <v>956</v>
          </cell>
        </row>
        <row r="305">
          <cell r="C305">
            <v>1088</v>
          </cell>
        </row>
        <row r="306">
          <cell r="C306">
            <v>1214</v>
          </cell>
        </row>
        <row r="307">
          <cell r="C307">
            <v>1128</v>
          </cell>
        </row>
        <row r="308">
          <cell r="C308">
            <v>880</v>
          </cell>
        </row>
        <row r="309">
          <cell r="C309">
            <v>548</v>
          </cell>
        </row>
        <row r="310">
          <cell r="C310">
            <v>1175</v>
          </cell>
        </row>
        <row r="311">
          <cell r="C311">
            <v>926</v>
          </cell>
        </row>
        <row r="312">
          <cell r="C312">
            <v>1080</v>
          </cell>
        </row>
        <row r="313">
          <cell r="C313">
            <v>984</v>
          </cell>
        </row>
        <row r="314">
          <cell r="C314">
            <v>498</v>
          </cell>
        </row>
        <row r="315">
          <cell r="C315">
            <v>928</v>
          </cell>
        </row>
        <row r="316">
          <cell r="C316">
            <v>293</v>
          </cell>
        </row>
        <row r="317">
          <cell r="C317">
            <v>1245</v>
          </cell>
        </row>
        <row r="318">
          <cell r="C318">
            <v>898</v>
          </cell>
        </row>
        <row r="319">
          <cell r="C319">
            <v>1080</v>
          </cell>
        </row>
        <row r="320">
          <cell r="C320">
            <v>634</v>
          </cell>
        </row>
        <row r="321">
          <cell r="C321">
            <v>888</v>
          </cell>
        </row>
        <row r="322">
          <cell r="C322">
            <v>975</v>
          </cell>
        </row>
        <row r="323">
          <cell r="C323">
            <v>683</v>
          </cell>
        </row>
        <row r="324">
          <cell r="C324">
            <v>793</v>
          </cell>
        </row>
        <row r="325">
          <cell r="C325">
            <v>853</v>
          </cell>
        </row>
        <row r="326">
          <cell r="C326">
            <v>824</v>
          </cell>
        </row>
        <row r="327">
          <cell r="C327">
            <v>795</v>
          </cell>
        </row>
        <row r="328">
          <cell r="C328">
            <v>722</v>
          </cell>
        </row>
        <row r="329">
          <cell r="C329">
            <v>1215</v>
          </cell>
        </row>
        <row r="330">
          <cell r="C330">
            <v>1107</v>
          </cell>
        </row>
        <row r="331">
          <cell r="C331">
            <v>949</v>
          </cell>
        </row>
        <row r="332">
          <cell r="C332">
            <v>788</v>
          </cell>
        </row>
        <row r="333">
          <cell r="C333">
            <v>769</v>
          </cell>
        </row>
        <row r="334">
          <cell r="C334">
            <v>736</v>
          </cell>
        </row>
        <row r="335">
          <cell r="C335">
            <v>817</v>
          </cell>
        </row>
        <row r="336">
          <cell r="C336">
            <v>1007</v>
          </cell>
        </row>
        <row r="337">
          <cell r="C337">
            <v>829</v>
          </cell>
        </row>
        <row r="338">
          <cell r="C338">
            <v>1401</v>
          </cell>
        </row>
        <row r="339">
          <cell r="C339">
            <v>890</v>
          </cell>
        </row>
        <row r="340">
          <cell r="C340">
            <v>803</v>
          </cell>
        </row>
        <row r="341">
          <cell r="C341">
            <v>1201</v>
          </cell>
        </row>
        <row r="342">
          <cell r="C342">
            <v>1060</v>
          </cell>
        </row>
        <row r="343">
          <cell r="C343">
            <v>1234</v>
          </cell>
        </row>
        <row r="344">
          <cell r="C344">
            <v>739</v>
          </cell>
        </row>
        <row r="345">
          <cell r="C345">
            <v>976</v>
          </cell>
        </row>
        <row r="346">
          <cell r="C346">
            <v>1115</v>
          </cell>
        </row>
        <row r="347">
          <cell r="C347">
            <v>1017</v>
          </cell>
        </row>
        <row r="348">
          <cell r="C348">
            <v>1260</v>
          </cell>
        </row>
        <row r="349">
          <cell r="C349">
            <v>737</v>
          </cell>
        </row>
        <row r="350">
          <cell r="C350">
            <v>1324</v>
          </cell>
        </row>
        <row r="351">
          <cell r="C351">
            <v>1216</v>
          </cell>
        </row>
        <row r="352">
          <cell r="C352">
            <v>916</v>
          </cell>
        </row>
        <row r="353">
          <cell r="C353">
            <v>1451</v>
          </cell>
        </row>
        <row r="354">
          <cell r="C354">
            <v>1001</v>
          </cell>
        </row>
        <row r="355">
          <cell r="C355">
            <v>1069</v>
          </cell>
        </row>
        <row r="356">
          <cell r="C356">
            <v>860</v>
          </cell>
        </row>
        <row r="357">
          <cell r="C357">
            <v>688</v>
          </cell>
        </row>
        <row r="358">
          <cell r="C358">
            <v>1227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Database"/>
      <sheetName val="Summary 1 "/>
      <sheetName val="Summary 2"/>
      <sheetName val="Summary 3"/>
      <sheetName val="Chart1_Monthly"/>
      <sheetName val="Chart2_Yearended"/>
      <sheetName val="Chart3_TypeofVehicles"/>
      <sheetName val="Chart4_ImportedvsRegistered"/>
      <sheetName val="Chart5_MonthlyvsYearended"/>
      <sheetName val="Chart6_OET"/>
      <sheetName val="Indicators_Trade&amp;OET"/>
      <sheetName val="Chart 4"/>
      <sheetName val="Vehicles total "/>
      <sheetName val="Cars total"/>
      <sheetName val="Heavy vehicles"/>
      <sheetName val="Light vehicles"/>
      <sheetName val="Vehicle Lending"/>
      <sheetName val="Bank lending comparison"/>
    </sheetNames>
    <sheetDataSet>
      <sheetData sheetId="0"/>
      <sheetData sheetId="1">
        <row r="133">
          <cell r="C133">
            <v>108</v>
          </cell>
        </row>
        <row r="134">
          <cell r="C134">
            <v>237</v>
          </cell>
        </row>
        <row r="135">
          <cell r="C135">
            <v>177</v>
          </cell>
        </row>
        <row r="136">
          <cell r="C136">
            <v>152</v>
          </cell>
        </row>
        <row r="137">
          <cell r="C137">
            <v>171</v>
          </cell>
        </row>
        <row r="138">
          <cell r="C138">
            <v>187</v>
          </cell>
        </row>
        <row r="139">
          <cell r="C139">
            <v>243</v>
          </cell>
        </row>
        <row r="140">
          <cell r="C140">
            <v>109</v>
          </cell>
        </row>
        <row r="141">
          <cell r="C141">
            <v>112</v>
          </cell>
        </row>
        <row r="142">
          <cell r="C142">
            <v>137</v>
          </cell>
        </row>
        <row r="143">
          <cell r="C143">
            <v>175</v>
          </cell>
        </row>
        <row r="144">
          <cell r="C144">
            <v>132</v>
          </cell>
        </row>
        <row r="145">
          <cell r="C145">
            <v>141</v>
          </cell>
        </row>
        <row r="146">
          <cell r="C146">
            <v>141</v>
          </cell>
        </row>
        <row r="147">
          <cell r="C147">
            <v>136</v>
          </cell>
        </row>
        <row r="148">
          <cell r="C148">
            <v>141</v>
          </cell>
        </row>
        <row r="149">
          <cell r="C149">
            <v>174</v>
          </cell>
        </row>
        <row r="150">
          <cell r="C150">
            <v>218</v>
          </cell>
        </row>
        <row r="151">
          <cell r="C151">
            <v>207</v>
          </cell>
        </row>
        <row r="152">
          <cell r="C152">
            <v>139</v>
          </cell>
        </row>
        <row r="153">
          <cell r="C153">
            <v>148</v>
          </cell>
        </row>
        <row r="154">
          <cell r="C154">
            <v>175</v>
          </cell>
        </row>
        <row r="155">
          <cell r="C155">
            <v>196</v>
          </cell>
        </row>
        <row r="156">
          <cell r="C156">
            <v>191</v>
          </cell>
        </row>
        <row r="157">
          <cell r="C157">
            <v>224</v>
          </cell>
        </row>
        <row r="158">
          <cell r="C158">
            <v>156</v>
          </cell>
        </row>
        <row r="159">
          <cell r="C159">
            <v>178</v>
          </cell>
        </row>
        <row r="160">
          <cell r="C160">
            <v>172</v>
          </cell>
        </row>
        <row r="161">
          <cell r="C161">
            <v>120</v>
          </cell>
        </row>
        <row r="162">
          <cell r="C162">
            <v>255</v>
          </cell>
        </row>
        <row r="163">
          <cell r="C163">
            <v>225</v>
          </cell>
        </row>
        <row r="164">
          <cell r="C164">
            <v>177</v>
          </cell>
        </row>
        <row r="165">
          <cell r="C165">
            <v>145</v>
          </cell>
        </row>
        <row r="166">
          <cell r="C166">
            <v>142</v>
          </cell>
        </row>
        <row r="167">
          <cell r="C167">
            <v>140</v>
          </cell>
        </row>
        <row r="168">
          <cell r="C168">
            <v>159</v>
          </cell>
        </row>
        <row r="169">
          <cell r="C169">
            <v>152</v>
          </cell>
        </row>
        <row r="170">
          <cell r="C170">
            <v>140</v>
          </cell>
        </row>
        <row r="171">
          <cell r="C171">
            <v>164</v>
          </cell>
        </row>
        <row r="172">
          <cell r="C172">
            <v>208</v>
          </cell>
        </row>
        <row r="173">
          <cell r="C173">
            <v>162</v>
          </cell>
        </row>
        <row r="174">
          <cell r="C174">
            <v>234</v>
          </cell>
        </row>
        <row r="175">
          <cell r="C175">
            <v>212</v>
          </cell>
        </row>
        <row r="176">
          <cell r="C176">
            <v>130</v>
          </cell>
        </row>
        <row r="177">
          <cell r="C177">
            <v>147</v>
          </cell>
        </row>
        <row r="178">
          <cell r="C178">
            <v>144</v>
          </cell>
        </row>
        <row r="179">
          <cell r="C179">
            <v>145</v>
          </cell>
        </row>
        <row r="180">
          <cell r="C180">
            <v>149</v>
          </cell>
        </row>
        <row r="181">
          <cell r="C181">
            <v>165</v>
          </cell>
        </row>
        <row r="182">
          <cell r="C182">
            <v>165</v>
          </cell>
        </row>
        <row r="183">
          <cell r="C183">
            <v>161</v>
          </cell>
        </row>
        <row r="184">
          <cell r="C184">
            <v>159</v>
          </cell>
        </row>
        <row r="185">
          <cell r="C185">
            <v>240</v>
          </cell>
        </row>
        <row r="186">
          <cell r="C186">
            <v>228</v>
          </cell>
        </row>
        <row r="187">
          <cell r="C187">
            <v>179</v>
          </cell>
        </row>
        <row r="188">
          <cell r="C188">
            <v>151</v>
          </cell>
        </row>
        <row r="189">
          <cell r="C189">
            <v>156</v>
          </cell>
        </row>
        <row r="190">
          <cell r="C190">
            <v>122</v>
          </cell>
        </row>
        <row r="191">
          <cell r="C191">
            <v>149</v>
          </cell>
        </row>
        <row r="192">
          <cell r="C192">
            <v>140</v>
          </cell>
        </row>
        <row r="193">
          <cell r="C193">
            <v>108</v>
          </cell>
        </row>
        <row r="194">
          <cell r="C194">
            <v>135</v>
          </cell>
        </row>
        <row r="195">
          <cell r="C195">
            <v>142</v>
          </cell>
        </row>
        <row r="196">
          <cell r="C196">
            <v>114</v>
          </cell>
        </row>
        <row r="197">
          <cell r="C197">
            <v>337</v>
          </cell>
        </row>
        <row r="198">
          <cell r="C198">
            <v>273</v>
          </cell>
        </row>
        <row r="199">
          <cell r="C199">
            <v>196</v>
          </cell>
        </row>
        <row r="200">
          <cell r="C200">
            <v>123</v>
          </cell>
        </row>
        <row r="201">
          <cell r="C201">
            <v>130</v>
          </cell>
        </row>
        <row r="202">
          <cell r="C202">
            <v>146</v>
          </cell>
        </row>
        <row r="203">
          <cell r="C203">
            <v>195</v>
          </cell>
        </row>
        <row r="204">
          <cell r="C204">
            <v>176</v>
          </cell>
        </row>
        <row r="205">
          <cell r="C205">
            <v>257</v>
          </cell>
        </row>
        <row r="206">
          <cell r="C206">
            <v>159</v>
          </cell>
        </row>
        <row r="207">
          <cell r="C207">
            <v>150</v>
          </cell>
        </row>
        <row r="208">
          <cell r="C208">
            <v>172</v>
          </cell>
        </row>
        <row r="209">
          <cell r="C209">
            <v>192</v>
          </cell>
        </row>
        <row r="210">
          <cell r="C210">
            <v>204</v>
          </cell>
        </row>
        <row r="211">
          <cell r="C211">
            <v>192</v>
          </cell>
        </row>
        <row r="212">
          <cell r="C212">
            <v>137</v>
          </cell>
        </row>
        <row r="213">
          <cell r="C213">
            <v>133</v>
          </cell>
        </row>
        <row r="214">
          <cell r="C214">
            <v>140</v>
          </cell>
        </row>
        <row r="215">
          <cell r="C215">
            <v>184</v>
          </cell>
        </row>
        <row r="216">
          <cell r="C216">
            <v>148</v>
          </cell>
        </row>
        <row r="217">
          <cell r="C217">
            <v>182</v>
          </cell>
        </row>
        <row r="218">
          <cell r="C218">
            <v>147</v>
          </cell>
        </row>
        <row r="219">
          <cell r="C219">
            <v>115</v>
          </cell>
        </row>
        <row r="220">
          <cell r="C220">
            <v>142</v>
          </cell>
        </row>
        <row r="221">
          <cell r="C221">
            <v>170</v>
          </cell>
        </row>
        <row r="222">
          <cell r="C222">
            <v>181</v>
          </cell>
        </row>
        <row r="223">
          <cell r="C223">
            <v>183</v>
          </cell>
        </row>
        <row r="224">
          <cell r="C224">
            <v>125</v>
          </cell>
        </row>
        <row r="225">
          <cell r="C225">
            <v>102</v>
          </cell>
        </row>
        <row r="226">
          <cell r="C226">
            <v>114</v>
          </cell>
        </row>
        <row r="227">
          <cell r="C227">
            <v>77</v>
          </cell>
        </row>
        <row r="228">
          <cell r="C228">
            <v>38</v>
          </cell>
        </row>
        <row r="229">
          <cell r="C229">
            <v>96</v>
          </cell>
        </row>
        <row r="230">
          <cell r="C230">
            <v>101</v>
          </cell>
        </row>
        <row r="231">
          <cell r="C231">
            <v>114</v>
          </cell>
        </row>
        <row r="232">
          <cell r="C232">
            <v>113</v>
          </cell>
        </row>
        <row r="233">
          <cell r="C233">
            <v>103</v>
          </cell>
        </row>
        <row r="234">
          <cell r="C234">
            <v>115</v>
          </cell>
        </row>
        <row r="235">
          <cell r="C235">
            <v>107</v>
          </cell>
        </row>
        <row r="236">
          <cell r="C236">
            <v>72</v>
          </cell>
        </row>
        <row r="237">
          <cell r="C237">
            <v>74</v>
          </cell>
        </row>
        <row r="238">
          <cell r="C238">
            <v>77</v>
          </cell>
        </row>
        <row r="239">
          <cell r="C239">
            <v>74</v>
          </cell>
        </row>
        <row r="240">
          <cell r="C240">
            <v>85</v>
          </cell>
        </row>
        <row r="241">
          <cell r="C241">
            <v>90</v>
          </cell>
        </row>
        <row r="242">
          <cell r="C242">
            <v>80</v>
          </cell>
        </row>
        <row r="243">
          <cell r="C243">
            <v>137</v>
          </cell>
        </row>
        <row r="244">
          <cell r="C244">
            <v>120</v>
          </cell>
        </row>
        <row r="245">
          <cell r="C245">
            <v>126</v>
          </cell>
        </row>
        <row r="246">
          <cell r="C246">
            <v>122</v>
          </cell>
        </row>
        <row r="247">
          <cell r="C247">
            <v>58</v>
          </cell>
        </row>
        <row r="248">
          <cell r="C248">
            <v>87</v>
          </cell>
        </row>
        <row r="249">
          <cell r="C249">
            <v>68</v>
          </cell>
        </row>
        <row r="250">
          <cell r="C250">
            <v>77</v>
          </cell>
        </row>
        <row r="251">
          <cell r="C251">
            <v>87</v>
          </cell>
        </row>
        <row r="252">
          <cell r="C252">
            <v>90</v>
          </cell>
        </row>
        <row r="253">
          <cell r="C253">
            <v>98</v>
          </cell>
        </row>
        <row r="254">
          <cell r="C254">
            <v>78</v>
          </cell>
        </row>
        <row r="255">
          <cell r="C255">
            <v>80</v>
          </cell>
        </row>
        <row r="256">
          <cell r="C256">
            <v>85</v>
          </cell>
        </row>
        <row r="257">
          <cell r="C257">
            <v>104</v>
          </cell>
        </row>
        <row r="258">
          <cell r="C258">
            <v>110</v>
          </cell>
        </row>
        <row r="259">
          <cell r="C259">
            <v>98</v>
          </cell>
        </row>
        <row r="260">
          <cell r="C260">
            <v>76</v>
          </cell>
        </row>
        <row r="261">
          <cell r="C261">
            <v>58</v>
          </cell>
        </row>
        <row r="262">
          <cell r="C262">
            <v>72</v>
          </cell>
        </row>
        <row r="263">
          <cell r="C263">
            <v>90</v>
          </cell>
        </row>
        <row r="264">
          <cell r="C264">
            <v>80</v>
          </cell>
        </row>
        <row r="265">
          <cell r="C265">
            <v>74</v>
          </cell>
        </row>
        <row r="266">
          <cell r="C266">
            <v>93</v>
          </cell>
        </row>
        <row r="267">
          <cell r="C267">
            <v>61</v>
          </cell>
        </row>
        <row r="268">
          <cell r="C268">
            <v>109</v>
          </cell>
        </row>
        <row r="269">
          <cell r="C269">
            <v>117</v>
          </cell>
        </row>
        <row r="270">
          <cell r="C270">
            <v>133</v>
          </cell>
        </row>
        <row r="271">
          <cell r="C271">
            <v>120</v>
          </cell>
        </row>
        <row r="272">
          <cell r="C272">
            <v>93</v>
          </cell>
        </row>
        <row r="273">
          <cell r="C273">
            <v>71</v>
          </cell>
        </row>
        <row r="274">
          <cell r="C274">
            <v>64</v>
          </cell>
        </row>
        <row r="275">
          <cell r="C275">
            <v>115</v>
          </cell>
        </row>
        <row r="276">
          <cell r="C276">
            <v>114</v>
          </cell>
        </row>
        <row r="277">
          <cell r="C277">
            <v>89</v>
          </cell>
        </row>
        <row r="278">
          <cell r="C278">
            <v>113</v>
          </cell>
        </row>
        <row r="279">
          <cell r="C279">
            <v>104</v>
          </cell>
        </row>
        <row r="280">
          <cell r="C280">
            <v>139</v>
          </cell>
        </row>
        <row r="281">
          <cell r="C281">
            <v>135</v>
          </cell>
        </row>
        <row r="282">
          <cell r="C282">
            <v>110</v>
          </cell>
        </row>
        <row r="283">
          <cell r="C283">
            <v>167</v>
          </cell>
        </row>
        <row r="284">
          <cell r="C284">
            <v>88</v>
          </cell>
        </row>
        <row r="285">
          <cell r="C285">
            <v>89</v>
          </cell>
        </row>
        <row r="286">
          <cell r="C286">
            <v>124</v>
          </cell>
        </row>
        <row r="287">
          <cell r="C287">
            <v>122</v>
          </cell>
        </row>
        <row r="288">
          <cell r="C288">
            <v>127</v>
          </cell>
        </row>
        <row r="289">
          <cell r="C289">
            <v>155</v>
          </cell>
        </row>
        <row r="290">
          <cell r="C290">
            <v>137</v>
          </cell>
        </row>
        <row r="291">
          <cell r="C291">
            <v>143</v>
          </cell>
        </row>
        <row r="292">
          <cell r="C292">
            <v>137</v>
          </cell>
        </row>
        <row r="293">
          <cell r="C293">
            <v>135</v>
          </cell>
        </row>
        <row r="294">
          <cell r="C294">
            <v>161</v>
          </cell>
        </row>
        <row r="295">
          <cell r="C295">
            <v>142</v>
          </cell>
        </row>
        <row r="296">
          <cell r="C296">
            <v>137</v>
          </cell>
        </row>
        <row r="297">
          <cell r="C297">
            <v>124</v>
          </cell>
        </row>
        <row r="298">
          <cell r="C298">
            <v>151</v>
          </cell>
        </row>
        <row r="299">
          <cell r="C299">
            <v>168</v>
          </cell>
        </row>
        <row r="300">
          <cell r="C300">
            <v>169</v>
          </cell>
        </row>
        <row r="301">
          <cell r="C301">
            <v>187</v>
          </cell>
        </row>
        <row r="302">
          <cell r="C302">
            <v>144</v>
          </cell>
        </row>
        <row r="303">
          <cell r="C303">
            <v>170</v>
          </cell>
        </row>
        <row r="304">
          <cell r="C304">
            <v>211</v>
          </cell>
        </row>
        <row r="305">
          <cell r="C305">
            <v>181</v>
          </cell>
        </row>
        <row r="306">
          <cell r="C306">
            <v>227</v>
          </cell>
        </row>
        <row r="307">
          <cell r="C307">
            <v>176</v>
          </cell>
        </row>
        <row r="308">
          <cell r="C308">
            <v>127</v>
          </cell>
        </row>
        <row r="309">
          <cell r="C309">
            <v>189</v>
          </cell>
        </row>
        <row r="310">
          <cell r="C310">
            <v>198</v>
          </cell>
        </row>
        <row r="311">
          <cell r="C311">
            <v>196</v>
          </cell>
        </row>
        <row r="312">
          <cell r="C312">
            <v>262</v>
          </cell>
        </row>
        <row r="313">
          <cell r="C313">
            <v>240</v>
          </cell>
        </row>
        <row r="314">
          <cell r="C314">
            <v>196</v>
          </cell>
        </row>
        <row r="315">
          <cell r="C315">
            <v>212</v>
          </cell>
        </row>
        <row r="316">
          <cell r="C316">
            <v>256</v>
          </cell>
        </row>
        <row r="317">
          <cell r="C317">
            <v>275</v>
          </cell>
        </row>
        <row r="318">
          <cell r="C318">
            <v>328</v>
          </cell>
        </row>
        <row r="319">
          <cell r="C319">
            <v>243</v>
          </cell>
        </row>
        <row r="320">
          <cell r="C320">
            <v>185</v>
          </cell>
        </row>
        <row r="321">
          <cell r="C321">
            <v>193</v>
          </cell>
        </row>
        <row r="322">
          <cell r="C322">
            <v>250</v>
          </cell>
        </row>
        <row r="323">
          <cell r="C323">
            <v>360</v>
          </cell>
        </row>
        <row r="324">
          <cell r="C324">
            <v>300</v>
          </cell>
        </row>
        <row r="325">
          <cell r="C325">
            <v>307</v>
          </cell>
        </row>
        <row r="326">
          <cell r="C326">
            <v>254</v>
          </cell>
        </row>
        <row r="327">
          <cell r="C327">
            <v>281</v>
          </cell>
        </row>
        <row r="328">
          <cell r="C328">
            <v>346</v>
          </cell>
        </row>
        <row r="329">
          <cell r="C329">
            <v>326</v>
          </cell>
        </row>
        <row r="330">
          <cell r="C330">
            <v>418</v>
          </cell>
        </row>
        <row r="331">
          <cell r="C331">
            <v>285</v>
          </cell>
        </row>
        <row r="332">
          <cell r="C332">
            <v>253</v>
          </cell>
        </row>
        <row r="333">
          <cell r="C333">
            <v>289</v>
          </cell>
        </row>
        <row r="334">
          <cell r="C334">
            <v>306</v>
          </cell>
        </row>
        <row r="335">
          <cell r="C335">
            <v>345</v>
          </cell>
        </row>
        <row r="336">
          <cell r="C336">
            <v>300</v>
          </cell>
        </row>
        <row r="337">
          <cell r="C337">
            <v>279</v>
          </cell>
        </row>
        <row r="338">
          <cell r="C338">
            <v>374</v>
          </cell>
        </row>
        <row r="339">
          <cell r="C339">
            <v>311</v>
          </cell>
        </row>
        <row r="340">
          <cell r="C340">
            <v>329</v>
          </cell>
        </row>
        <row r="341">
          <cell r="C341">
            <v>274</v>
          </cell>
        </row>
        <row r="342">
          <cell r="C342">
            <v>416</v>
          </cell>
        </row>
        <row r="343">
          <cell r="C343">
            <v>325</v>
          </cell>
        </row>
        <row r="344">
          <cell r="C344">
            <v>121</v>
          </cell>
        </row>
        <row r="345">
          <cell r="C345">
            <v>332</v>
          </cell>
        </row>
        <row r="346">
          <cell r="C346">
            <v>246</v>
          </cell>
        </row>
        <row r="347">
          <cell r="C347">
            <v>391</v>
          </cell>
        </row>
        <row r="348">
          <cell r="C348">
            <v>301</v>
          </cell>
        </row>
        <row r="349">
          <cell r="C349">
            <v>339</v>
          </cell>
        </row>
        <row r="350">
          <cell r="C350">
            <v>331</v>
          </cell>
        </row>
        <row r="351">
          <cell r="C351">
            <v>300</v>
          </cell>
        </row>
        <row r="352">
          <cell r="C352">
            <v>296</v>
          </cell>
        </row>
        <row r="353">
          <cell r="C353">
            <v>315</v>
          </cell>
        </row>
        <row r="354">
          <cell r="C354">
            <v>353</v>
          </cell>
        </row>
        <row r="355">
          <cell r="C355">
            <v>304</v>
          </cell>
        </row>
        <row r="356">
          <cell r="C356">
            <v>217</v>
          </cell>
        </row>
        <row r="357">
          <cell r="C357">
            <v>258</v>
          </cell>
        </row>
        <row r="358">
          <cell r="C358">
            <v>271</v>
          </cell>
        </row>
        <row r="359">
          <cell r="C359">
            <v>358</v>
          </cell>
        </row>
        <row r="360">
          <cell r="C360">
            <v>248</v>
          </cell>
        </row>
        <row r="361">
          <cell r="C361">
            <v>329</v>
          </cell>
        </row>
        <row r="362">
          <cell r="C362">
            <v>324</v>
          </cell>
        </row>
        <row r="363">
          <cell r="C363">
            <v>287</v>
          </cell>
        </row>
        <row r="364">
          <cell r="C364">
            <v>295</v>
          </cell>
        </row>
        <row r="365">
          <cell r="C365">
            <v>248</v>
          </cell>
        </row>
        <row r="366">
          <cell r="C366">
            <v>287</v>
          </cell>
        </row>
        <row r="367">
          <cell r="C367">
            <v>246</v>
          </cell>
        </row>
        <row r="368">
          <cell r="C368">
            <v>224</v>
          </cell>
        </row>
        <row r="369">
          <cell r="C369">
            <v>210</v>
          </cell>
        </row>
        <row r="370">
          <cell r="C370">
            <v>47</v>
          </cell>
        </row>
        <row r="371">
          <cell r="C371">
            <v>231</v>
          </cell>
        </row>
        <row r="372">
          <cell r="C372">
            <v>289</v>
          </cell>
        </row>
        <row r="373">
          <cell r="C373">
            <v>304</v>
          </cell>
        </row>
        <row r="374">
          <cell r="C374">
            <v>316</v>
          </cell>
        </row>
        <row r="375">
          <cell r="C375">
            <v>336</v>
          </cell>
        </row>
        <row r="376">
          <cell r="C376">
            <v>288</v>
          </cell>
        </row>
        <row r="377">
          <cell r="C377">
            <v>215</v>
          </cell>
        </row>
        <row r="378">
          <cell r="C378">
            <v>287</v>
          </cell>
        </row>
        <row r="379">
          <cell r="C379">
            <v>245</v>
          </cell>
        </row>
        <row r="380">
          <cell r="C380">
            <v>209</v>
          </cell>
        </row>
        <row r="381">
          <cell r="C381">
            <v>191</v>
          </cell>
        </row>
        <row r="382">
          <cell r="C382">
            <v>270</v>
          </cell>
        </row>
        <row r="383">
          <cell r="C383">
            <v>274</v>
          </cell>
        </row>
        <row r="384">
          <cell r="C384">
            <v>261</v>
          </cell>
        </row>
        <row r="385">
          <cell r="C385">
            <v>247</v>
          </cell>
        </row>
        <row r="386">
          <cell r="C386">
            <v>218</v>
          </cell>
        </row>
        <row r="387">
          <cell r="C387">
            <v>171</v>
          </cell>
        </row>
        <row r="388">
          <cell r="C388">
            <v>198</v>
          </cell>
        </row>
        <row r="389">
          <cell r="C389">
            <v>201</v>
          </cell>
        </row>
        <row r="390">
          <cell r="C390">
            <v>288</v>
          </cell>
        </row>
        <row r="391">
          <cell r="C391">
            <v>170</v>
          </cell>
        </row>
        <row r="392">
          <cell r="C392">
            <v>40</v>
          </cell>
        </row>
        <row r="393">
          <cell r="C393">
            <v>332</v>
          </cell>
        </row>
        <row r="394">
          <cell r="C394">
            <v>240</v>
          </cell>
        </row>
        <row r="395">
          <cell r="C395">
            <v>331</v>
          </cell>
        </row>
        <row r="396">
          <cell r="C396">
            <v>266</v>
          </cell>
        </row>
        <row r="397">
          <cell r="C397">
            <v>287</v>
          </cell>
        </row>
        <row r="398">
          <cell r="C398">
            <v>270</v>
          </cell>
        </row>
        <row r="399">
          <cell r="C399">
            <v>240</v>
          </cell>
        </row>
        <row r="400">
          <cell r="C400">
            <v>210</v>
          </cell>
        </row>
        <row r="401">
          <cell r="C401">
            <v>275</v>
          </cell>
        </row>
        <row r="402">
          <cell r="C402">
            <v>269</v>
          </cell>
        </row>
        <row r="403">
          <cell r="C403">
            <v>275</v>
          </cell>
        </row>
        <row r="404">
          <cell r="C404">
            <v>212</v>
          </cell>
        </row>
        <row r="405">
          <cell r="C405">
            <v>221</v>
          </cell>
        </row>
        <row r="406">
          <cell r="C406">
            <v>222</v>
          </cell>
        </row>
        <row r="407">
          <cell r="C407">
            <v>252</v>
          </cell>
        </row>
        <row r="408">
          <cell r="C408">
            <v>272</v>
          </cell>
        </row>
        <row r="409">
          <cell r="C409">
            <v>255</v>
          </cell>
        </row>
        <row r="410">
          <cell r="C410">
            <v>250</v>
          </cell>
        </row>
        <row r="411">
          <cell r="C411">
            <v>238</v>
          </cell>
        </row>
        <row r="412">
          <cell r="C412">
            <v>236</v>
          </cell>
        </row>
        <row r="413">
          <cell r="C413">
            <v>242</v>
          </cell>
        </row>
        <row r="414">
          <cell r="C414">
            <v>312</v>
          </cell>
        </row>
        <row r="415">
          <cell r="C415">
            <v>326</v>
          </cell>
        </row>
        <row r="416">
          <cell r="C416">
            <v>239</v>
          </cell>
        </row>
        <row r="417">
          <cell r="C417">
            <v>214</v>
          </cell>
        </row>
        <row r="418">
          <cell r="C418">
            <v>268</v>
          </cell>
        </row>
        <row r="419">
          <cell r="C419">
            <v>342</v>
          </cell>
        </row>
        <row r="420">
          <cell r="C420">
            <v>366</v>
          </cell>
        </row>
        <row r="421">
          <cell r="C421">
            <v>273</v>
          </cell>
        </row>
        <row r="422">
          <cell r="C422">
            <v>274</v>
          </cell>
        </row>
        <row r="423">
          <cell r="C423">
            <v>222</v>
          </cell>
        </row>
        <row r="424">
          <cell r="C424">
            <v>357</v>
          </cell>
        </row>
        <row r="425">
          <cell r="C425">
            <v>292</v>
          </cell>
        </row>
        <row r="426">
          <cell r="C426">
            <v>327</v>
          </cell>
        </row>
        <row r="427">
          <cell r="C427">
            <v>328</v>
          </cell>
        </row>
        <row r="428">
          <cell r="C428">
            <v>202</v>
          </cell>
        </row>
        <row r="429">
          <cell r="C429">
            <v>211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"/>
      <sheetName val="Database"/>
      <sheetName val="Database_TONGAN"/>
      <sheetName val="Database_Translation"/>
      <sheetName val="Breakdown "/>
      <sheetName val="Summary 1"/>
      <sheetName val="Summary 2"/>
      <sheetName val="Summary 3"/>
      <sheetName val="Database_TONGA"/>
      <sheetName val="Report chart 1"/>
      <sheetName val="by fish type (m)"/>
      <sheetName val="by fish type_12months total"/>
      <sheetName val="12 months total (f)"/>
      <sheetName val="Marine_12months"/>
      <sheetName val="Marine_12months'Aok 21"/>
      <sheetName val="Marine_12months_TONGAN"/>
      <sheetName val="Marine_12months (Tongan)"/>
      <sheetName val="Marine_12months_Translation"/>
      <sheetName val="Marine_monthly"/>
      <sheetName val="Marine_12months_translate"/>
      <sheetName val="Marine export proceeds"/>
      <sheetName val="Marine chart _Tonga"/>
      <sheetName val="value monthly-marine vs marine"/>
      <sheetName val="12 months total (Aquarium)"/>
      <sheetName val="Marine chart (Tonga)"/>
      <sheetName val="Database (Tonga)"/>
      <sheetName val="Marine chart (tongan)"/>
      <sheetName val="Report chart 2"/>
      <sheetName val="Marine_1 yr rolling_tonga"/>
      <sheetName val="MER"/>
    </sheetNames>
    <sheetDataSet>
      <sheetData sheetId="0"/>
      <sheetData sheetId="1"/>
      <sheetData sheetId="2">
        <row r="8">
          <cell r="D8">
            <v>78.33</v>
          </cell>
        </row>
        <row r="9">
          <cell r="D9">
            <v>84.834000000000003</v>
          </cell>
        </row>
        <row r="10">
          <cell r="D10">
            <v>74.013000000000005</v>
          </cell>
        </row>
        <row r="11">
          <cell r="D11">
            <v>41.1</v>
          </cell>
        </row>
        <row r="12">
          <cell r="D12">
            <v>49.468000000000004</v>
          </cell>
        </row>
        <row r="13">
          <cell r="D13">
            <v>43.484999999999999</v>
          </cell>
        </row>
        <row r="14">
          <cell r="D14">
            <v>44.957999999999998</v>
          </cell>
        </row>
        <row r="15">
          <cell r="D15">
            <v>54.183000000000007</v>
          </cell>
        </row>
        <row r="16">
          <cell r="D16">
            <v>124.41200000000001</v>
          </cell>
        </row>
        <row r="17">
          <cell r="D17">
            <v>174.35900000000001</v>
          </cell>
        </row>
        <row r="18">
          <cell r="D18">
            <v>27.721</v>
          </cell>
        </row>
        <row r="19">
          <cell r="D19">
            <v>45.689</v>
          </cell>
        </row>
        <row r="20">
          <cell r="D20">
            <v>68.08</v>
          </cell>
        </row>
        <row r="21">
          <cell r="D21">
            <v>48.918000000000006</v>
          </cell>
        </row>
        <row r="22">
          <cell r="D22">
            <v>66.126000000000005</v>
          </cell>
        </row>
        <row r="23">
          <cell r="D23">
            <v>42.959000000000003</v>
          </cell>
        </row>
        <row r="24">
          <cell r="D24">
            <v>34.811</v>
          </cell>
        </row>
        <row r="25">
          <cell r="D25">
            <v>73.84</v>
          </cell>
        </row>
        <row r="26">
          <cell r="D26">
            <v>58.188999999999993</v>
          </cell>
        </row>
        <row r="27">
          <cell r="D27">
            <v>57.911999999999999</v>
          </cell>
        </row>
        <row r="28">
          <cell r="D28">
            <v>44.933000000000007</v>
          </cell>
        </row>
        <row r="29">
          <cell r="D29">
            <v>38.978000000000002</v>
          </cell>
        </row>
        <row r="30">
          <cell r="D30">
            <v>41.384</v>
          </cell>
        </row>
        <row r="31">
          <cell r="D31">
            <v>43.752999999999993</v>
          </cell>
        </row>
        <row r="32">
          <cell r="D32">
            <v>21.636000000000003</v>
          </cell>
        </row>
        <row r="33">
          <cell r="D33">
            <v>38.144999999999996</v>
          </cell>
        </row>
        <row r="34">
          <cell r="D34">
            <v>29.262999999999998</v>
          </cell>
        </row>
        <row r="35">
          <cell r="D35">
            <v>37.602000000000004</v>
          </cell>
        </row>
        <row r="36">
          <cell r="D36">
            <v>41.840999999999994</v>
          </cell>
        </row>
        <row r="37">
          <cell r="D37">
            <v>34.044000000000004</v>
          </cell>
        </row>
        <row r="38">
          <cell r="D38">
            <v>54.349000000000004</v>
          </cell>
        </row>
        <row r="39">
          <cell r="D39">
            <v>28.787000000000003</v>
          </cell>
        </row>
        <row r="40">
          <cell r="D40">
            <v>16.0258</v>
          </cell>
        </row>
        <row r="41">
          <cell r="D41">
            <v>31.693313999999997</v>
          </cell>
        </row>
        <row r="42">
          <cell r="D42">
            <v>21.340900000000001</v>
          </cell>
        </row>
        <row r="43">
          <cell r="D43">
            <v>21.102</v>
          </cell>
        </row>
        <row r="44">
          <cell r="D44">
            <v>16.503</v>
          </cell>
        </row>
        <row r="45">
          <cell r="D45">
            <v>16.616999999999997</v>
          </cell>
        </row>
        <row r="46">
          <cell r="D46">
            <v>22.5809</v>
          </cell>
        </row>
        <row r="47">
          <cell r="D47">
            <v>30.290999999999997</v>
          </cell>
        </row>
        <row r="48">
          <cell r="D48">
            <v>25.164519999999996</v>
          </cell>
        </row>
        <row r="49">
          <cell r="D49">
            <v>24.459160000000001</v>
          </cell>
        </row>
        <row r="50">
          <cell r="D50">
            <v>72.022149999999996</v>
          </cell>
        </row>
        <row r="51">
          <cell r="D51">
            <v>43.994945000000001</v>
          </cell>
        </row>
        <row r="52">
          <cell r="D52">
            <v>62.769511999999992</v>
          </cell>
        </row>
        <row r="53">
          <cell r="D53">
            <v>88.262429999999995</v>
          </cell>
        </row>
        <row r="54">
          <cell r="D54">
            <v>92.633080000000007</v>
          </cell>
        </row>
        <row r="55">
          <cell r="D55">
            <v>66.390590000000003</v>
          </cell>
        </row>
        <row r="56">
          <cell r="D56">
            <v>14.620000000000001</v>
          </cell>
        </row>
        <row r="57">
          <cell r="D57">
            <v>7.0286000000000008</v>
          </cell>
        </row>
        <row r="58">
          <cell r="D58">
            <v>15.277000000000001</v>
          </cell>
        </row>
        <row r="59">
          <cell r="D59">
            <v>12.273</v>
          </cell>
        </row>
        <row r="60">
          <cell r="D60">
            <v>11.641999999999999</v>
          </cell>
        </row>
        <row r="61">
          <cell r="D61">
            <v>27.33154</v>
          </cell>
        </row>
        <row r="62">
          <cell r="D62">
            <v>86.876449999999991</v>
          </cell>
        </row>
        <row r="63">
          <cell r="D63">
            <v>74.175139999999999</v>
          </cell>
        </row>
        <row r="64">
          <cell r="D64">
            <v>64.308210000000003</v>
          </cell>
        </row>
        <row r="65">
          <cell r="D65">
            <v>111.35338999999999</v>
          </cell>
        </row>
        <row r="66">
          <cell r="D66">
            <v>11.628</v>
          </cell>
        </row>
        <row r="67">
          <cell r="D67">
            <v>15.86509</v>
          </cell>
        </row>
        <row r="68">
          <cell r="D68">
            <v>13.408000000000001</v>
          </cell>
        </row>
        <row r="69">
          <cell r="D69">
            <v>19.86</v>
          </cell>
        </row>
        <row r="70">
          <cell r="D70">
            <v>20.16</v>
          </cell>
        </row>
        <row r="71">
          <cell r="D71">
            <v>8.5739999999999998</v>
          </cell>
        </row>
        <row r="72">
          <cell r="D72">
            <v>13.905999999999999</v>
          </cell>
        </row>
        <row r="73">
          <cell r="D73">
            <v>9.8679999999999986</v>
          </cell>
        </row>
        <row r="74">
          <cell r="D74">
            <v>12.127849999999999</v>
          </cell>
        </row>
        <row r="75">
          <cell r="D75">
            <v>37.922219999999996</v>
          </cell>
        </row>
        <row r="76">
          <cell r="D76">
            <v>18.208010000000002</v>
          </cell>
        </row>
        <row r="77">
          <cell r="D77">
            <v>65.866779999999991</v>
          </cell>
        </row>
        <row r="78">
          <cell r="D78">
            <v>54.434829999999998</v>
          </cell>
        </row>
        <row r="79">
          <cell r="D79">
            <v>91.905000000000001</v>
          </cell>
        </row>
        <row r="80">
          <cell r="D80">
            <v>83.168499999999995</v>
          </cell>
        </row>
        <row r="81">
          <cell r="D81">
            <v>12.108000000000001</v>
          </cell>
        </row>
        <row r="82">
          <cell r="D82">
            <v>54.922350000000002</v>
          </cell>
        </row>
        <row r="83">
          <cell r="D83">
            <v>61.273000000000003</v>
          </cell>
        </row>
        <row r="84">
          <cell r="D84">
            <v>76.894000000000005</v>
          </cell>
        </row>
        <row r="85">
          <cell r="D85">
            <v>119.19380000000001</v>
          </cell>
        </row>
        <row r="86">
          <cell r="D86">
            <v>134.71030000000002</v>
          </cell>
        </row>
        <row r="87">
          <cell r="D87">
            <v>100.81031</v>
          </cell>
        </row>
        <row r="88">
          <cell r="D88">
            <v>63.119599999999998</v>
          </cell>
        </row>
        <row r="89">
          <cell r="D89">
            <v>241.8837</v>
          </cell>
        </row>
        <row r="90">
          <cell r="D90">
            <v>304.13114000000002</v>
          </cell>
        </row>
        <row r="91">
          <cell r="D91">
            <v>69.010789999999986</v>
          </cell>
        </row>
        <row r="92">
          <cell r="D92">
            <v>149.66070000000002</v>
          </cell>
        </row>
        <row r="93">
          <cell r="D93">
            <v>86.05</v>
          </cell>
        </row>
        <row r="94">
          <cell r="D94">
            <v>35.344000000000001</v>
          </cell>
        </row>
        <row r="95">
          <cell r="D95">
            <v>29.807000000000002</v>
          </cell>
        </row>
        <row r="96">
          <cell r="D96">
            <v>74.962999999999994</v>
          </cell>
        </row>
        <row r="97">
          <cell r="D97">
            <v>66.379000000000005</v>
          </cell>
        </row>
        <row r="98">
          <cell r="D98">
            <v>17.823999999999998</v>
          </cell>
        </row>
        <row r="99">
          <cell r="D99">
            <v>6.7789999999999999</v>
          </cell>
        </row>
        <row r="100">
          <cell r="D100">
            <v>16.676410000000001</v>
          </cell>
        </row>
        <row r="101">
          <cell r="D101">
            <v>190.27475999999999</v>
          </cell>
        </row>
        <row r="102">
          <cell r="D102">
            <v>54.018000000000001</v>
          </cell>
        </row>
        <row r="103">
          <cell r="D103">
            <v>13.792999999999999</v>
          </cell>
        </row>
        <row r="104">
          <cell r="D104">
            <v>60.511000000000003</v>
          </cell>
        </row>
        <row r="105">
          <cell r="D105">
            <v>31.299599999999998</v>
          </cell>
        </row>
        <row r="106">
          <cell r="D106">
            <v>29.164999999999999</v>
          </cell>
        </row>
        <row r="107">
          <cell r="D107">
            <v>10.186</v>
          </cell>
        </row>
        <row r="108">
          <cell r="D108">
            <v>8.7190000000000012</v>
          </cell>
        </row>
        <row r="109">
          <cell r="D109">
            <v>70.403970000000001</v>
          </cell>
        </row>
        <row r="110">
          <cell r="D110">
            <v>66.694299999999998</v>
          </cell>
        </row>
        <row r="111">
          <cell r="D111">
            <v>199.29599999999999</v>
          </cell>
        </row>
        <row r="112">
          <cell r="D112">
            <v>64.216810000000009</v>
          </cell>
        </row>
        <row r="113">
          <cell r="D113">
            <v>99.620080000000002</v>
          </cell>
        </row>
        <row r="114">
          <cell r="D114">
            <v>29.634</v>
          </cell>
        </row>
        <row r="115">
          <cell r="D115">
            <v>50.775999999999996</v>
          </cell>
        </row>
        <row r="116">
          <cell r="D116">
            <v>63.83</v>
          </cell>
        </row>
        <row r="117">
          <cell r="D117">
            <v>54.957999999999998</v>
          </cell>
        </row>
        <row r="118">
          <cell r="D118">
            <v>132.708</v>
          </cell>
        </row>
        <row r="119">
          <cell r="D119">
            <v>49.680999999999997</v>
          </cell>
        </row>
        <row r="120">
          <cell r="D120">
            <v>77.176000000000002</v>
          </cell>
        </row>
        <row r="121">
          <cell r="D121">
            <v>105.56</v>
          </cell>
        </row>
        <row r="122">
          <cell r="D122">
            <v>191.01900000000001</v>
          </cell>
        </row>
        <row r="123">
          <cell r="D123">
            <v>54.198999999999998</v>
          </cell>
        </row>
        <row r="124">
          <cell r="D124">
            <v>238.01900000000001</v>
          </cell>
        </row>
        <row r="125">
          <cell r="D125">
            <v>68.725000000000009</v>
          </cell>
        </row>
        <row r="126">
          <cell r="D126">
            <v>179.804</v>
          </cell>
        </row>
        <row r="127">
          <cell r="D127">
            <v>95.992999999999995</v>
          </cell>
        </row>
        <row r="128">
          <cell r="D128">
            <v>71.341999999999999</v>
          </cell>
        </row>
        <row r="129">
          <cell r="D129">
            <v>290.70499999999998</v>
          </cell>
        </row>
        <row r="130">
          <cell r="D130">
            <v>135.905</v>
          </cell>
        </row>
        <row r="131">
          <cell r="D131">
            <v>142.79000000000002</v>
          </cell>
        </row>
        <row r="132">
          <cell r="D132">
            <v>176.82999999999998</v>
          </cell>
        </row>
        <row r="133">
          <cell r="D133">
            <v>73.400000000000006</v>
          </cell>
        </row>
        <row r="134">
          <cell r="D134">
            <v>272.47700000000003</v>
          </cell>
        </row>
        <row r="135">
          <cell r="D135">
            <v>259.161</v>
          </cell>
        </row>
        <row r="136">
          <cell r="D136">
            <v>238.21100000000001</v>
          </cell>
        </row>
        <row r="137">
          <cell r="D137">
            <v>113.31400000000001</v>
          </cell>
        </row>
        <row r="138">
          <cell r="D138">
            <v>182.392</v>
          </cell>
        </row>
        <row r="139">
          <cell r="D139">
            <v>164.53700000000001</v>
          </cell>
        </row>
        <row r="140">
          <cell r="D140">
            <v>223.95</v>
          </cell>
        </row>
        <row r="141">
          <cell r="D141">
            <v>238.08400000000003</v>
          </cell>
        </row>
        <row r="142">
          <cell r="D142">
            <v>182.77199999999999</v>
          </cell>
        </row>
        <row r="143">
          <cell r="D143">
            <v>300.83299999999997</v>
          </cell>
        </row>
        <row r="144">
          <cell r="D144">
            <v>36.391999999999996</v>
          </cell>
        </row>
        <row r="145">
          <cell r="D145">
            <v>398.54</v>
          </cell>
        </row>
        <row r="146">
          <cell r="D146">
            <v>293.87899999999996</v>
          </cell>
        </row>
        <row r="147">
          <cell r="D147">
            <v>273.97500000000002</v>
          </cell>
        </row>
        <row r="148">
          <cell r="D148">
            <v>96.516999999999996</v>
          </cell>
        </row>
        <row r="149">
          <cell r="D149">
            <v>213.91400000000002</v>
          </cell>
        </row>
        <row r="150">
          <cell r="D150">
            <v>50.93</v>
          </cell>
        </row>
        <row r="151">
          <cell r="D151">
            <v>30.39</v>
          </cell>
        </row>
        <row r="152">
          <cell r="D152">
            <v>38.332999999999998</v>
          </cell>
        </row>
        <row r="153">
          <cell r="D153">
            <v>47.986000000000004</v>
          </cell>
        </row>
        <row r="154">
          <cell r="D154">
            <v>51.446999999999996</v>
          </cell>
        </row>
        <row r="155">
          <cell r="D155">
            <v>8.3390000000000004</v>
          </cell>
        </row>
        <row r="156">
          <cell r="D156">
            <v>81.424999999999983</v>
          </cell>
        </row>
        <row r="157">
          <cell r="D157">
            <v>9.2940000000000005</v>
          </cell>
        </row>
        <row r="158">
          <cell r="D158">
            <v>155.262</v>
          </cell>
        </row>
        <row r="159">
          <cell r="D159">
            <v>96.634</v>
          </cell>
        </row>
        <row r="160">
          <cell r="D160">
            <v>95.429000000000002</v>
          </cell>
        </row>
        <row r="161">
          <cell r="D161">
            <v>62.672000000000004</v>
          </cell>
        </row>
        <row r="162">
          <cell r="D162">
            <v>52.206000000000003</v>
          </cell>
        </row>
        <row r="163">
          <cell r="D163">
            <v>107.22500000000001</v>
          </cell>
        </row>
        <row r="164">
          <cell r="D164">
            <v>114.729</v>
          </cell>
        </row>
        <row r="165">
          <cell r="D165">
            <v>199.619</v>
          </cell>
        </row>
        <row r="166">
          <cell r="D166">
            <v>273.81299999999999</v>
          </cell>
        </row>
        <row r="167">
          <cell r="D167">
            <v>165.47400000000002</v>
          </cell>
        </row>
        <row r="168">
          <cell r="D168">
            <v>109.797</v>
          </cell>
        </row>
        <row r="169">
          <cell r="D169">
            <v>325.36999999999995</v>
          </cell>
        </row>
        <row r="170">
          <cell r="D170">
            <v>74.742000000000004</v>
          </cell>
        </row>
        <row r="171">
          <cell r="D171">
            <v>151.40800000000002</v>
          </cell>
        </row>
        <row r="172">
          <cell r="D172">
            <v>496.19499999999999</v>
          </cell>
        </row>
        <row r="173">
          <cell r="D173">
            <v>222.05199999999999</v>
          </cell>
        </row>
        <row r="174">
          <cell r="D174">
            <v>71.169000000000011</v>
          </cell>
        </row>
        <row r="175">
          <cell r="D175">
            <v>151.256</v>
          </cell>
        </row>
        <row r="176">
          <cell r="D176">
            <v>8.5459999999999994</v>
          </cell>
        </row>
        <row r="177">
          <cell r="D177">
            <v>253.26099999999997</v>
          </cell>
        </row>
        <row r="178">
          <cell r="D178">
            <v>194.75199999999998</v>
          </cell>
        </row>
        <row r="179">
          <cell r="D179">
            <v>11.981</v>
          </cell>
        </row>
        <row r="180">
          <cell r="D180">
            <v>228.57999999999998</v>
          </cell>
        </row>
        <row r="181">
          <cell r="D181">
            <v>46.350999999999999</v>
          </cell>
        </row>
        <row r="182">
          <cell r="D182">
            <v>159.946</v>
          </cell>
        </row>
        <row r="183">
          <cell r="D183">
            <v>89.782129999999995</v>
          </cell>
        </row>
        <row r="184">
          <cell r="D184">
            <v>170.81162</v>
          </cell>
        </row>
        <row r="185">
          <cell r="D185">
            <v>21.768999999999998</v>
          </cell>
        </row>
        <row r="186">
          <cell r="D186">
            <v>5.51</v>
          </cell>
        </row>
        <row r="187">
          <cell r="D187">
            <v>115.11500000000001</v>
          </cell>
        </row>
        <row r="188">
          <cell r="D188">
            <v>171.56700000000001</v>
          </cell>
        </row>
        <row r="189">
          <cell r="D189">
            <v>52.911000000000001</v>
          </cell>
        </row>
        <row r="190">
          <cell r="D190">
            <v>193.18</v>
          </cell>
        </row>
        <row r="191">
          <cell r="D191">
            <v>160.62100000000001</v>
          </cell>
        </row>
        <row r="192">
          <cell r="D192">
            <v>160.78600000000003</v>
          </cell>
        </row>
        <row r="193">
          <cell r="D193">
            <v>152.274</v>
          </cell>
        </row>
        <row r="194">
          <cell r="D194">
            <v>47.204000000000008</v>
          </cell>
        </row>
        <row r="195">
          <cell r="D195">
            <v>256.13299999999998</v>
          </cell>
        </row>
        <row r="196">
          <cell r="D196">
            <v>135.982</v>
          </cell>
        </row>
        <row r="197">
          <cell r="D197">
            <v>30.677</v>
          </cell>
        </row>
        <row r="198">
          <cell r="D198">
            <v>195.95</v>
          </cell>
        </row>
        <row r="199">
          <cell r="D199">
            <v>67.896000000000001</v>
          </cell>
        </row>
        <row r="200">
          <cell r="D200">
            <v>34.217999999999996</v>
          </cell>
        </row>
        <row r="201">
          <cell r="D201">
            <v>49.885999999999996</v>
          </cell>
        </row>
        <row r="202">
          <cell r="D202">
            <v>74.569000000000003</v>
          </cell>
        </row>
        <row r="203">
          <cell r="D203">
            <v>30.152000000000001</v>
          </cell>
        </row>
        <row r="204">
          <cell r="D204">
            <v>63.821000000000005</v>
          </cell>
        </row>
        <row r="205">
          <cell r="D205">
            <v>39.513000000000005</v>
          </cell>
        </row>
        <row r="206">
          <cell r="D206">
            <v>4.5490000000000004</v>
          </cell>
        </row>
        <row r="207">
          <cell r="D207">
            <v>89.114999999999995</v>
          </cell>
        </row>
        <row r="208">
          <cell r="D208">
            <v>11.68</v>
          </cell>
        </row>
        <row r="209">
          <cell r="D209">
            <v>113.214</v>
          </cell>
        </row>
        <row r="210">
          <cell r="D210">
            <v>286.01700000000005</v>
          </cell>
        </row>
        <row r="211">
          <cell r="D211">
            <v>124.021</v>
          </cell>
        </row>
        <row r="212">
          <cell r="D212">
            <v>279.52100000000002</v>
          </cell>
        </row>
        <row r="213">
          <cell r="D213">
            <v>282.11799999999999</v>
          </cell>
        </row>
        <row r="214">
          <cell r="D214">
            <v>204.792</v>
          </cell>
        </row>
        <row r="215">
          <cell r="D215">
            <v>80.891000000000005</v>
          </cell>
        </row>
        <row r="216">
          <cell r="D216">
            <v>139.55699999999999</v>
          </cell>
        </row>
        <row r="217">
          <cell r="D217">
            <v>183.583</v>
          </cell>
        </row>
        <row r="218">
          <cell r="D218">
            <v>68.421000000000006</v>
          </cell>
        </row>
        <row r="219">
          <cell r="D219">
            <v>188.32399999999998</v>
          </cell>
        </row>
        <row r="220">
          <cell r="D220">
            <v>64.164000000000001</v>
          </cell>
        </row>
        <row r="221">
          <cell r="D221">
            <v>148.22899999999998</v>
          </cell>
        </row>
        <row r="222">
          <cell r="D222">
            <v>49.575000000000003</v>
          </cell>
        </row>
        <row r="223">
          <cell r="D223">
            <v>343.58100000000002</v>
          </cell>
        </row>
        <row r="224">
          <cell r="D224">
            <v>119.417</v>
          </cell>
        </row>
        <row r="225">
          <cell r="D225">
            <v>351.07100000000003</v>
          </cell>
        </row>
        <row r="226">
          <cell r="D226">
            <v>232.56799999999998</v>
          </cell>
        </row>
        <row r="227">
          <cell r="D227">
            <v>97.402000000000001</v>
          </cell>
        </row>
        <row r="228">
          <cell r="D228">
            <v>0</v>
          </cell>
        </row>
        <row r="229">
          <cell r="D229">
            <v>49.298000000000002</v>
          </cell>
        </row>
        <row r="230">
          <cell r="D230">
            <v>124.12400000000001</v>
          </cell>
        </row>
        <row r="231">
          <cell r="D231">
            <v>254.47200000000001</v>
          </cell>
        </row>
        <row r="232">
          <cell r="D232">
            <v>54.526000000000003</v>
          </cell>
        </row>
        <row r="233">
          <cell r="D233">
            <v>158.17399999999998</v>
          </cell>
        </row>
        <row r="234">
          <cell r="D234">
            <v>5.56</v>
          </cell>
        </row>
        <row r="235">
          <cell r="D235">
            <v>36.756999999999998</v>
          </cell>
        </row>
        <row r="236">
          <cell r="D236">
            <v>182.64500000000001</v>
          </cell>
        </row>
        <row r="237">
          <cell r="D237">
            <v>95.28</v>
          </cell>
        </row>
        <row r="238">
          <cell r="D238">
            <v>19.173999999999999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2007"/>
      <sheetName val="2008"/>
      <sheetName val="2009"/>
      <sheetName val="2010"/>
      <sheetName val="2011"/>
      <sheetName val="2012"/>
      <sheetName val="2013"/>
      <sheetName val="Data"/>
      <sheetName val="Database"/>
      <sheetName val="Constant_for Eview"/>
      <sheetName val="Kavaexports_Country"/>
      <sheetName val="Squashexports_Country"/>
      <sheetName val="Summary 1 "/>
      <sheetName val="Summary 2"/>
      <sheetName val="Summary 3"/>
      <sheetName val="Breakdown"/>
      <sheetName val="Chart1_MonthlyExports"/>
      <sheetName val="Chart2_TotalExports"/>
      <sheetName val="Chart3_Exports12Months"/>
      <sheetName val="Chart8"/>
      <sheetName val="Chart9"/>
      <sheetName val="Chart10"/>
      <sheetName val="Chart4"/>
      <sheetName val="Chart12"/>
      <sheetName val="Chart13"/>
      <sheetName val="Chart14"/>
      <sheetName val="Chart15"/>
      <sheetName val="Chart16"/>
      <sheetName val="Volume_Tongan chart Aokos21"/>
      <sheetName val="Chart5_ByItems"/>
      <sheetName val="Volume_english chart  (3)"/>
      <sheetName val="Volume_english chart 2"/>
      <sheetName val="Database_TONGAN"/>
      <sheetName val="Database_Tonga"/>
      <sheetName val="Chart17"/>
      <sheetName val="Chart18"/>
      <sheetName val="Chart19"/>
      <sheetName val="Chart20"/>
      <sheetName val="Volume_english chart_Tongan"/>
      <sheetName val="Chart22"/>
      <sheetName val="Chart23"/>
      <sheetName val="Chart6"/>
      <sheetName val="Chart7"/>
      <sheetName val="Chart8_veg"/>
      <sheetName val="Chart26"/>
      <sheetName val="Chart27"/>
      <sheetName val="Chart28"/>
      <sheetName val="Chart29"/>
      <sheetName val="Chart30"/>
      <sheetName val="Chart31"/>
      <sheetName val="Chart32"/>
      <sheetName val="Chart33"/>
      <sheetName val="Chart34"/>
      <sheetName val="Chart35"/>
      <sheetName val="Chart36"/>
      <sheetName val="Chart37"/>
      <sheetName val="Chart38"/>
      <sheetName val="Chart39"/>
      <sheetName val="Chart40"/>
      <sheetName val="Database-Ton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5">
          <cell r="C45">
            <v>183.18344000000002</v>
          </cell>
        </row>
        <row r="46">
          <cell r="C46">
            <v>128.49770000000001</v>
          </cell>
        </row>
        <row r="47">
          <cell r="C47">
            <v>206.37059999999997</v>
          </cell>
        </row>
        <row r="48">
          <cell r="C48">
            <v>412.40325999999999</v>
          </cell>
        </row>
        <row r="49">
          <cell r="C49">
            <v>381.29388999999998</v>
          </cell>
        </row>
        <row r="50">
          <cell r="C50">
            <v>368.98104999999998</v>
          </cell>
        </row>
        <row r="51">
          <cell r="C51">
            <v>313.2713</v>
          </cell>
        </row>
        <row r="52">
          <cell r="C52">
            <v>313.96891999999997</v>
          </cell>
        </row>
        <row r="53">
          <cell r="C53">
            <v>336.80850000000004</v>
          </cell>
        </row>
        <row r="54">
          <cell r="C54">
            <v>2928.2760300000004</v>
          </cell>
        </row>
        <row r="55">
          <cell r="C55">
            <v>2676.4785400000001</v>
          </cell>
        </row>
        <row r="56">
          <cell r="C56">
            <v>394.43496999999996</v>
          </cell>
        </row>
        <row r="57">
          <cell r="C57">
            <v>387.77703999999994</v>
          </cell>
        </row>
        <row r="58">
          <cell r="C58">
            <v>485.78472999999997</v>
          </cell>
        </row>
        <row r="59">
          <cell r="C59">
            <v>399.46871999999996</v>
          </cell>
        </row>
        <row r="60">
          <cell r="C60">
            <v>456.05836999999991</v>
          </cell>
        </row>
        <row r="61">
          <cell r="C61">
            <v>479.84676999999994</v>
          </cell>
        </row>
        <row r="62">
          <cell r="C62">
            <v>338.75970000000001</v>
          </cell>
        </row>
        <row r="63">
          <cell r="C63">
            <v>367.97422000000006</v>
          </cell>
        </row>
        <row r="64">
          <cell r="C64">
            <v>341.08643000000006</v>
          </cell>
        </row>
        <row r="65">
          <cell r="C65">
            <v>373.70097999999996</v>
          </cell>
        </row>
        <row r="66">
          <cell r="C66">
            <v>1947.0458600000002</v>
          </cell>
        </row>
        <row r="67">
          <cell r="C67">
            <v>1382.5479600000001</v>
          </cell>
        </row>
        <row r="68">
          <cell r="C68">
            <v>287.41341999999992</v>
          </cell>
        </row>
        <row r="69">
          <cell r="C69">
            <v>357.00203000000005</v>
          </cell>
        </row>
        <row r="70">
          <cell r="C70">
            <v>248.02376000000001</v>
          </cell>
        </row>
        <row r="71">
          <cell r="C71">
            <v>492.47518000000014</v>
          </cell>
        </row>
        <row r="72">
          <cell r="C72">
            <v>490.08878999999996</v>
          </cell>
        </row>
        <row r="73">
          <cell r="C73">
            <v>432.97609999999997</v>
          </cell>
        </row>
        <row r="74">
          <cell r="C74">
            <v>321.85257999999993</v>
          </cell>
        </row>
        <row r="75">
          <cell r="C75">
            <v>237.81620999999998</v>
          </cell>
        </row>
        <row r="76">
          <cell r="C76">
            <v>260.36544000000004</v>
          </cell>
        </row>
        <row r="77">
          <cell r="C77">
            <v>268.50054999999998</v>
          </cell>
        </row>
        <row r="78">
          <cell r="C78">
            <v>1246.0990299999999</v>
          </cell>
        </row>
        <row r="79">
          <cell r="C79">
            <v>1256.45469</v>
          </cell>
        </row>
        <row r="80">
          <cell r="C80">
            <v>466.98566</v>
          </cell>
        </row>
        <row r="81">
          <cell r="C81">
            <v>215.16289</v>
          </cell>
        </row>
        <row r="82">
          <cell r="C82">
            <v>141.44011999999998</v>
          </cell>
        </row>
        <row r="83">
          <cell r="C83">
            <v>241.81654999999998</v>
          </cell>
        </row>
        <row r="84">
          <cell r="C84">
            <v>171.47846999999999</v>
          </cell>
        </row>
        <row r="85">
          <cell r="C85">
            <v>264.93303000000003</v>
          </cell>
        </row>
        <row r="86">
          <cell r="C86">
            <v>259.96048999999999</v>
          </cell>
        </row>
        <row r="87">
          <cell r="C87">
            <v>307.29309000000001</v>
          </cell>
        </row>
        <row r="88">
          <cell r="C88">
            <v>365.74404999999996</v>
          </cell>
        </row>
        <row r="89">
          <cell r="C89">
            <v>273.49808000000007</v>
          </cell>
        </row>
        <row r="90">
          <cell r="C90">
            <v>950.82617000000016</v>
          </cell>
        </row>
        <row r="91">
          <cell r="C91">
            <v>1248.6704199999999</v>
          </cell>
        </row>
        <row r="92">
          <cell r="C92">
            <v>567.68518000000006</v>
          </cell>
        </row>
        <row r="93">
          <cell r="C93">
            <v>209.19943999999998</v>
          </cell>
        </row>
        <row r="94">
          <cell r="C94">
            <v>307.82153000000005</v>
          </cell>
        </row>
        <row r="95">
          <cell r="C95">
            <v>373.40905999999995</v>
          </cell>
        </row>
        <row r="96">
          <cell r="C96">
            <v>401.14742999999999</v>
          </cell>
        </row>
        <row r="97">
          <cell r="C97">
            <v>547.08235999999999</v>
          </cell>
        </row>
        <row r="98">
          <cell r="C98">
            <v>423.82426000000009</v>
          </cell>
        </row>
        <row r="99">
          <cell r="C99">
            <v>446.49069999999995</v>
          </cell>
        </row>
        <row r="100">
          <cell r="C100">
            <v>470.71974999999998</v>
          </cell>
        </row>
        <row r="101">
          <cell r="C101">
            <v>491.49653000000001</v>
          </cell>
        </row>
        <row r="102">
          <cell r="C102">
            <v>2252.7660099999998</v>
          </cell>
        </row>
        <row r="103">
          <cell r="C103">
            <v>2041.9409600000001</v>
          </cell>
        </row>
        <row r="104">
          <cell r="C104">
            <v>503.74888999999996</v>
          </cell>
        </row>
        <row r="105">
          <cell r="C105">
            <v>380.07247000000001</v>
          </cell>
        </row>
        <row r="106">
          <cell r="C106">
            <v>340.66678000000002</v>
          </cell>
        </row>
        <row r="107">
          <cell r="C107">
            <v>419.77344999999991</v>
          </cell>
        </row>
        <row r="108">
          <cell r="C108">
            <v>417.17556999999999</v>
          </cell>
        </row>
        <row r="109">
          <cell r="C109">
            <v>632.02428999999995</v>
          </cell>
        </row>
        <row r="110">
          <cell r="C110">
            <v>369.17858999999999</v>
          </cell>
        </row>
        <row r="111">
          <cell r="C111">
            <v>417.14080000000001</v>
          </cell>
        </row>
        <row r="112">
          <cell r="C112">
            <v>333.40157999999997</v>
          </cell>
        </row>
        <row r="113">
          <cell r="C113">
            <v>1056.7190100000003</v>
          </cell>
        </row>
        <row r="114">
          <cell r="C114">
            <v>2205.5023300000003</v>
          </cell>
        </row>
        <row r="115">
          <cell r="C115">
            <v>2496.9503000000004</v>
          </cell>
        </row>
        <row r="116">
          <cell r="C116">
            <v>428.41335999999995</v>
          </cell>
        </row>
        <row r="117">
          <cell r="C117">
            <v>296.44986</v>
          </cell>
        </row>
        <row r="118">
          <cell r="C118">
            <v>335.04124999999993</v>
          </cell>
        </row>
        <row r="119">
          <cell r="C119">
            <v>239.64711000000005</v>
          </cell>
        </row>
        <row r="120">
          <cell r="C120">
            <v>724.24831999999992</v>
          </cell>
        </row>
        <row r="121">
          <cell r="C121">
            <v>616.57537999999988</v>
          </cell>
        </row>
        <row r="122">
          <cell r="C122">
            <v>627.5498</v>
          </cell>
        </row>
        <row r="123">
          <cell r="C123">
            <v>711.22643999999991</v>
          </cell>
        </row>
        <row r="124">
          <cell r="C124">
            <v>429.39918</v>
          </cell>
        </row>
        <row r="125">
          <cell r="C125">
            <v>623.13299000000006</v>
          </cell>
        </row>
        <row r="126">
          <cell r="C126">
            <v>3305.6882800000003</v>
          </cell>
        </row>
        <row r="127">
          <cell r="C127">
            <v>1556.2297600000002</v>
          </cell>
        </row>
        <row r="128">
          <cell r="C128">
            <v>412.07492999999999</v>
          </cell>
        </row>
        <row r="129">
          <cell r="C129">
            <v>361.93795</v>
          </cell>
        </row>
        <row r="130">
          <cell r="C130">
            <v>409.73008000000004</v>
          </cell>
        </row>
        <row r="131">
          <cell r="C131">
            <v>566.33709999999996</v>
          </cell>
        </row>
        <row r="132">
          <cell r="C132">
            <v>589.69847000000004</v>
          </cell>
        </row>
        <row r="133">
          <cell r="C133">
            <v>712.14312999999993</v>
          </cell>
        </row>
        <row r="134">
          <cell r="C134">
            <v>666.80402000000004</v>
          </cell>
        </row>
        <row r="135">
          <cell r="C135">
            <v>728.44976999999983</v>
          </cell>
        </row>
        <row r="136">
          <cell r="C136">
            <v>598.53818000000001</v>
          </cell>
        </row>
        <row r="137">
          <cell r="C137">
            <v>804.78262999999993</v>
          </cell>
        </row>
        <row r="138">
          <cell r="C138">
            <v>2333.6758</v>
          </cell>
        </row>
        <row r="139">
          <cell r="C139">
            <v>984.95543999999995</v>
          </cell>
        </row>
        <row r="140">
          <cell r="C140">
            <v>538.52936</v>
          </cell>
        </row>
        <row r="141">
          <cell r="C141">
            <v>388.34482999999994</v>
          </cell>
        </row>
        <row r="142">
          <cell r="C142">
            <v>435.75361999999996</v>
          </cell>
        </row>
        <row r="143">
          <cell r="C143">
            <v>368.01254</v>
          </cell>
        </row>
        <row r="144">
          <cell r="C144">
            <v>416.23987</v>
          </cell>
        </row>
        <row r="145">
          <cell r="C145">
            <v>509.36752999999993</v>
          </cell>
        </row>
        <row r="146">
          <cell r="C146">
            <v>249.53381000000002</v>
          </cell>
        </row>
        <row r="147">
          <cell r="C147">
            <v>274.28579000000002</v>
          </cell>
        </row>
        <row r="148">
          <cell r="C148">
            <v>414.31302000000005</v>
          </cell>
        </row>
        <row r="149">
          <cell r="C149">
            <v>560.63351</v>
          </cell>
        </row>
        <row r="150">
          <cell r="C150">
            <v>1396.9329</v>
          </cell>
        </row>
        <row r="151">
          <cell r="C151">
            <v>2887.6412700000001</v>
          </cell>
        </row>
        <row r="152">
          <cell r="C152">
            <v>535.19060999999988</v>
          </cell>
        </row>
        <row r="153">
          <cell r="C153">
            <v>225.85924</v>
          </cell>
        </row>
        <row r="154">
          <cell r="C154">
            <v>361.64931999999999</v>
          </cell>
        </row>
        <row r="155">
          <cell r="C155">
            <v>342.40341000000001</v>
          </cell>
        </row>
        <row r="156">
          <cell r="C156">
            <v>761.95533</v>
          </cell>
        </row>
        <row r="157">
          <cell r="C157">
            <v>440.51319000000007</v>
          </cell>
        </row>
        <row r="158">
          <cell r="C158">
            <v>515.41377</v>
          </cell>
        </row>
        <row r="159">
          <cell r="C159">
            <v>881.39124000000004</v>
          </cell>
        </row>
        <row r="160">
          <cell r="C160">
            <v>689.64390000000014</v>
          </cell>
        </row>
        <row r="161">
          <cell r="C161">
            <v>823.71852999999999</v>
          </cell>
        </row>
        <row r="162">
          <cell r="C162">
            <v>3328.5010600000005</v>
          </cell>
        </row>
        <row r="163">
          <cell r="C163">
            <v>1986.25281</v>
          </cell>
        </row>
        <row r="164">
          <cell r="C164">
            <v>585.48696999999993</v>
          </cell>
        </row>
        <row r="165">
          <cell r="C165">
            <v>218.31282000000002</v>
          </cell>
        </row>
        <row r="166">
          <cell r="C166">
            <v>407.10141999999991</v>
          </cell>
        </row>
        <row r="167">
          <cell r="C167">
            <v>583.08193000000006</v>
          </cell>
        </row>
        <row r="168">
          <cell r="C168">
            <v>537.49072000000001</v>
          </cell>
        </row>
        <row r="169">
          <cell r="C169">
            <v>800.38143000000002</v>
          </cell>
        </row>
        <row r="170">
          <cell r="C170">
            <v>751.34532000000013</v>
          </cell>
        </row>
        <row r="171">
          <cell r="C171">
            <v>561.91763000000003</v>
          </cell>
        </row>
        <row r="172">
          <cell r="C172">
            <v>897.27936000000011</v>
          </cell>
        </row>
        <row r="173">
          <cell r="C173">
            <v>1226.2494500000003</v>
          </cell>
        </row>
        <row r="174">
          <cell r="C174">
            <v>3742.5807099999993</v>
          </cell>
        </row>
        <row r="175">
          <cell r="C175">
            <v>2707.9810299999999</v>
          </cell>
        </row>
        <row r="176">
          <cell r="C176">
            <v>674.05160000000001</v>
          </cell>
        </row>
        <row r="177">
          <cell r="C177">
            <v>565.15256000000011</v>
          </cell>
        </row>
        <row r="178">
          <cell r="C178">
            <v>353.80545000000001</v>
          </cell>
        </row>
        <row r="179">
          <cell r="C179">
            <v>689.32511999999997</v>
          </cell>
        </row>
        <row r="180">
          <cell r="C180">
            <v>825.05752999999993</v>
          </cell>
        </row>
        <row r="181">
          <cell r="C181">
            <v>471.35808000000009</v>
          </cell>
        </row>
        <row r="182">
          <cell r="C182">
            <v>432.01816000000002</v>
          </cell>
        </row>
        <row r="183">
          <cell r="C183">
            <v>514.42921000000001</v>
          </cell>
        </row>
        <row r="184">
          <cell r="C184">
            <v>946.91586999999993</v>
          </cell>
        </row>
        <row r="185">
          <cell r="C185">
            <v>639.04875000000004</v>
          </cell>
        </row>
        <row r="186">
          <cell r="C186">
            <v>1360.3060299999997</v>
          </cell>
        </row>
        <row r="187">
          <cell r="C187">
            <v>2537.29162</v>
          </cell>
        </row>
        <row r="188">
          <cell r="C188">
            <v>338.68077</v>
          </cell>
        </row>
        <row r="189">
          <cell r="C189">
            <v>277.88043999999996</v>
          </cell>
        </row>
        <row r="190">
          <cell r="C190">
            <v>309.20846999999992</v>
          </cell>
        </row>
        <row r="191">
          <cell r="C191">
            <v>311.88735000000003</v>
          </cell>
        </row>
        <row r="192">
          <cell r="C192">
            <v>642.28743000000009</v>
          </cell>
        </row>
        <row r="193">
          <cell r="C193">
            <v>720.32099000000005</v>
          </cell>
        </row>
        <row r="194">
          <cell r="C194">
            <v>514.21301000000005</v>
          </cell>
        </row>
        <row r="195">
          <cell r="C195">
            <v>675.56032000000005</v>
          </cell>
        </row>
        <row r="196">
          <cell r="C196">
            <v>655.23408999999992</v>
          </cell>
        </row>
        <row r="197">
          <cell r="C197">
            <v>844.34929999999997</v>
          </cell>
        </row>
        <row r="198">
          <cell r="C198">
            <v>3286.8946799999994</v>
          </cell>
        </row>
        <row r="199">
          <cell r="C199">
            <v>2875.5492299999996</v>
          </cell>
        </row>
        <row r="200">
          <cell r="C200">
            <v>895.88971999999978</v>
          </cell>
        </row>
        <row r="201">
          <cell r="C201">
            <v>341.63517999999999</v>
          </cell>
        </row>
        <row r="202">
          <cell r="C202">
            <v>586.9585699999999</v>
          </cell>
        </row>
        <row r="203">
          <cell r="C203">
            <v>751.51459999999997</v>
          </cell>
        </row>
        <row r="204">
          <cell r="C204">
            <v>535.83380000000011</v>
          </cell>
        </row>
        <row r="205">
          <cell r="C205">
            <v>847.98459999999989</v>
          </cell>
        </row>
        <row r="206">
          <cell r="C206">
            <v>920.83549999999991</v>
          </cell>
        </row>
        <row r="207">
          <cell r="C207">
            <v>827.48567000000003</v>
          </cell>
        </row>
        <row r="208">
          <cell r="C208">
            <v>777.61022000000003</v>
          </cell>
        </row>
        <row r="209">
          <cell r="C209">
            <v>1277.22417</v>
          </cell>
        </row>
        <row r="210">
          <cell r="C210">
            <v>1122.9504000000002</v>
          </cell>
        </row>
        <row r="211">
          <cell r="C211">
            <v>1067.3316</v>
          </cell>
        </row>
        <row r="212">
          <cell r="C212">
            <v>999.73395999999991</v>
          </cell>
        </row>
        <row r="213">
          <cell r="C213">
            <v>345.14179999999999</v>
          </cell>
        </row>
        <row r="214">
          <cell r="C214">
            <v>492.98010000000005</v>
          </cell>
        </row>
        <row r="215">
          <cell r="C215">
            <v>1374.9489800000003</v>
          </cell>
        </row>
        <row r="216">
          <cell r="C216">
            <v>665.03855999999996</v>
          </cell>
        </row>
        <row r="217">
          <cell r="C217">
            <v>744.25059999999985</v>
          </cell>
        </row>
        <row r="218">
          <cell r="C218">
            <v>884.99340000000018</v>
          </cell>
        </row>
        <row r="219">
          <cell r="C219">
            <v>723.51908000000003</v>
          </cell>
        </row>
        <row r="220">
          <cell r="C220">
            <v>751.3994600000002</v>
          </cell>
        </row>
        <row r="221">
          <cell r="C221">
            <v>510.70589999999999</v>
          </cell>
        </row>
        <row r="222">
          <cell r="C222">
            <v>1695.0917300000001</v>
          </cell>
        </row>
        <row r="223">
          <cell r="C223">
            <v>2081.2437500000001</v>
          </cell>
        </row>
        <row r="224">
          <cell r="C224">
            <v>951.65434999999991</v>
          </cell>
        </row>
        <row r="225">
          <cell r="C225">
            <v>197.14267999999998</v>
          </cell>
        </row>
        <row r="226">
          <cell r="C226">
            <v>269.54442</v>
          </cell>
        </row>
        <row r="227">
          <cell r="C227">
            <v>254.15343000000001</v>
          </cell>
        </row>
        <row r="228">
          <cell r="C228">
            <v>438.67289</v>
          </cell>
        </row>
        <row r="229">
          <cell r="C229">
            <v>758.09140000000002</v>
          </cell>
        </row>
        <row r="230">
          <cell r="C230">
            <v>518.19098999999994</v>
          </cell>
        </row>
        <row r="231">
          <cell r="C231">
            <v>404.05185</v>
          </cell>
        </row>
        <row r="232">
          <cell r="C232">
            <v>590.30914999999993</v>
          </cell>
        </row>
        <row r="233">
          <cell r="C233">
            <v>525.37657000000002</v>
          </cell>
        </row>
        <row r="234">
          <cell r="C234">
            <v>1243.3662999999999</v>
          </cell>
        </row>
        <row r="235">
          <cell r="C235">
            <v>1243.82593</v>
          </cell>
        </row>
        <row r="236">
          <cell r="C236">
            <v>593.28270000000009</v>
          </cell>
        </row>
        <row r="237">
          <cell r="C237">
            <v>394.54137000000003</v>
          </cell>
        </row>
        <row r="238">
          <cell r="C238">
            <v>445.62007999999997</v>
          </cell>
        </row>
        <row r="239">
          <cell r="C239">
            <v>585.73010999999997</v>
          </cell>
        </row>
        <row r="240">
          <cell r="C240">
            <v>709.2412599999999</v>
          </cell>
        </row>
        <row r="241">
          <cell r="C241">
            <v>738.00586999999985</v>
          </cell>
        </row>
        <row r="242">
          <cell r="C242">
            <v>606.37412000000006</v>
          </cell>
        </row>
        <row r="243">
          <cell r="C243">
            <v>464.83596</v>
          </cell>
        </row>
        <row r="244">
          <cell r="C244">
            <v>660.45064000000002</v>
          </cell>
        </row>
        <row r="245">
          <cell r="C245">
            <v>662.44135999999992</v>
          </cell>
        </row>
        <row r="246">
          <cell r="C246">
            <v>1143.4833400000002</v>
          </cell>
        </row>
        <row r="247">
          <cell r="C247">
            <v>1069.4934600000001</v>
          </cell>
        </row>
        <row r="248">
          <cell r="C248">
            <v>513.32317999999998</v>
          </cell>
        </row>
        <row r="249">
          <cell r="C249">
            <v>255.04769999999999</v>
          </cell>
        </row>
        <row r="250">
          <cell r="C250">
            <v>406.25658999999996</v>
          </cell>
        </row>
        <row r="251">
          <cell r="C251">
            <v>386.67653999999993</v>
          </cell>
        </row>
        <row r="252">
          <cell r="C252">
            <v>401.37836000000004</v>
          </cell>
        </row>
        <row r="253">
          <cell r="C253">
            <v>548.34006000000011</v>
          </cell>
        </row>
        <row r="254">
          <cell r="C254">
            <v>368.74898000000002</v>
          </cell>
        </row>
        <row r="255">
          <cell r="C255">
            <v>671.81368999999995</v>
          </cell>
        </row>
        <row r="256">
          <cell r="C256">
            <v>562.60089000000005</v>
          </cell>
        </row>
        <row r="257">
          <cell r="C257">
            <v>307.91483999999997</v>
          </cell>
        </row>
        <row r="258">
          <cell r="C258">
            <v>624.3097600000001</v>
          </cell>
        </row>
        <row r="259">
          <cell r="C259">
            <v>695.84627</v>
          </cell>
        </row>
        <row r="260">
          <cell r="C260">
            <v>624.49712</v>
          </cell>
        </row>
        <row r="261">
          <cell r="C261">
            <v>314.12689</v>
          </cell>
        </row>
        <row r="262">
          <cell r="C262">
            <v>331.84595000000002</v>
          </cell>
        </row>
        <row r="263">
          <cell r="C263">
            <v>957.21136999999987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Value Data"/>
      <sheetName val="Volume Data"/>
      <sheetName val="Price Data"/>
      <sheetName val="Summary 1"/>
      <sheetName val="Summary 2"/>
      <sheetName val="Summary 3"/>
      <sheetName val="Summary 4"/>
      <sheetName val="Chart1 (2)"/>
      <sheetName val="Chart1"/>
      <sheetName val="Chart2 (2)"/>
      <sheetName val="Chart1_Value"/>
      <sheetName val="Chart2"/>
      <sheetName val="Chart3"/>
      <sheetName val="Chart4"/>
      <sheetName val="Chart5"/>
      <sheetName val="Chart6"/>
    </sheetNames>
    <sheetDataSet>
      <sheetData sheetId="0"/>
      <sheetData sheetId="1">
        <row r="87">
          <cell r="D87">
            <v>78407.630000000019</v>
          </cell>
          <cell r="P87">
            <v>16036.210000000003</v>
          </cell>
          <cell r="AI87">
            <v>80335.899999999994</v>
          </cell>
          <cell r="AJ87">
            <v>748.1099999999999</v>
          </cell>
          <cell r="AW87">
            <v>17137</v>
          </cell>
          <cell r="AZ87">
            <v>61340.44</v>
          </cell>
          <cell r="BC87">
            <v>183.5</v>
          </cell>
        </row>
        <row r="88">
          <cell r="D88">
            <v>64329.070000000007</v>
          </cell>
          <cell r="P88">
            <v>18650.78</v>
          </cell>
          <cell r="AI88">
            <v>70906.23</v>
          </cell>
          <cell r="AJ88">
            <v>877.25</v>
          </cell>
          <cell r="AW88">
            <v>4937.33</v>
          </cell>
          <cell r="AZ88">
            <v>63954.2</v>
          </cell>
          <cell r="BC88">
            <v>156</v>
          </cell>
        </row>
        <row r="89">
          <cell r="D89">
            <v>86293.35</v>
          </cell>
          <cell r="P89">
            <v>25167.969999999998</v>
          </cell>
          <cell r="AI89">
            <v>133870.81</v>
          </cell>
          <cell r="AJ89">
            <v>2659.11</v>
          </cell>
          <cell r="AW89">
            <v>16012.5</v>
          </cell>
          <cell r="AZ89">
            <v>114774.76000000001</v>
          </cell>
          <cell r="BC89">
            <v>142.13</v>
          </cell>
        </row>
        <row r="90">
          <cell r="D90">
            <v>66976.01999999999</v>
          </cell>
          <cell r="P90">
            <v>25890.34</v>
          </cell>
          <cell r="AI90">
            <v>82038.679999999993</v>
          </cell>
          <cell r="AJ90">
            <v>1289.54</v>
          </cell>
          <cell r="AW90">
            <v>7631.8</v>
          </cell>
          <cell r="AZ90">
            <v>70910.78</v>
          </cell>
          <cell r="BC90">
            <v>68.75</v>
          </cell>
        </row>
        <row r="91">
          <cell r="D91">
            <v>70322.23000000001</v>
          </cell>
          <cell r="P91">
            <v>22759.48</v>
          </cell>
          <cell r="AI91">
            <v>140981.01</v>
          </cell>
          <cell r="AJ91">
            <v>1678.0600000000002</v>
          </cell>
          <cell r="AW91">
            <v>47008.5</v>
          </cell>
          <cell r="AZ91">
            <v>87865.81</v>
          </cell>
          <cell r="BC91">
            <v>75</v>
          </cell>
        </row>
        <row r="92">
          <cell r="D92">
            <v>45892.660000000011</v>
          </cell>
          <cell r="P92">
            <v>12278.35</v>
          </cell>
          <cell r="AI92">
            <v>46157.649999999994</v>
          </cell>
          <cell r="AJ92">
            <v>1633.43</v>
          </cell>
          <cell r="AW92">
            <v>11554.29</v>
          </cell>
          <cell r="AZ92">
            <v>28783.05</v>
          </cell>
          <cell r="BC92">
            <v>201.6</v>
          </cell>
        </row>
        <row r="93">
          <cell r="D93">
            <v>36521.19</v>
          </cell>
          <cell r="P93">
            <v>20761.870000000003</v>
          </cell>
          <cell r="AI93">
            <v>84145.16</v>
          </cell>
          <cell r="AJ93">
            <v>5743.96</v>
          </cell>
          <cell r="AW93">
            <v>47462.400000000001</v>
          </cell>
          <cell r="AZ93">
            <v>27847.21</v>
          </cell>
          <cell r="BC93">
            <v>975</v>
          </cell>
        </row>
        <row r="94">
          <cell r="D94">
            <v>22186.710000000003</v>
          </cell>
          <cell r="P94">
            <v>12089.8</v>
          </cell>
          <cell r="AI94">
            <v>52396.250000000007</v>
          </cell>
          <cell r="AJ94">
            <v>2534.9600000000005</v>
          </cell>
          <cell r="AW94">
            <v>39817.800000000003</v>
          </cell>
          <cell r="AZ94">
            <v>7608.53</v>
          </cell>
          <cell r="BC94">
            <v>93.75</v>
          </cell>
        </row>
        <row r="95">
          <cell r="D95">
            <v>26174.51</v>
          </cell>
          <cell r="P95">
            <v>11738.52</v>
          </cell>
          <cell r="AI95">
            <v>59612.030000000006</v>
          </cell>
          <cell r="AJ95">
            <v>6538.58</v>
          </cell>
          <cell r="AW95">
            <v>15661.5</v>
          </cell>
          <cell r="AZ95">
            <v>35417.380000000005</v>
          </cell>
          <cell r="BC95">
            <v>213.13</v>
          </cell>
        </row>
        <row r="96">
          <cell r="D96">
            <v>27069.91</v>
          </cell>
          <cell r="P96">
            <v>13890.08</v>
          </cell>
          <cell r="AI96">
            <v>11825.075000000001</v>
          </cell>
          <cell r="AJ96">
            <v>4677.6149999999998</v>
          </cell>
          <cell r="AW96">
            <v>2671.5</v>
          </cell>
          <cell r="AZ96">
            <v>2447.3000000000002</v>
          </cell>
          <cell r="BC96">
            <v>145.06</v>
          </cell>
        </row>
        <row r="97">
          <cell r="D97">
            <v>29523.260000000002</v>
          </cell>
          <cell r="P97">
            <v>13391.829999999998</v>
          </cell>
          <cell r="AI97">
            <v>9136.2799999999988</v>
          </cell>
          <cell r="AJ97">
            <v>2999.7</v>
          </cell>
          <cell r="AW97">
            <v>3208.5</v>
          </cell>
          <cell r="AZ97">
            <v>2547.9899999999998</v>
          </cell>
          <cell r="BC97">
            <v>119.63</v>
          </cell>
        </row>
        <row r="98">
          <cell r="D98">
            <v>6065.72</v>
          </cell>
          <cell r="P98">
            <v>15877.37</v>
          </cell>
          <cell r="AI98">
            <v>1545.92</v>
          </cell>
          <cell r="AJ98">
            <v>416.77</v>
          </cell>
          <cell r="AW98">
            <v>634.5</v>
          </cell>
          <cell r="AZ98">
            <v>365.51</v>
          </cell>
          <cell r="BC98">
            <v>126</v>
          </cell>
        </row>
        <row r="99">
          <cell r="D99">
            <v>61604.72</v>
          </cell>
          <cell r="P99">
            <v>10814.57</v>
          </cell>
          <cell r="AI99">
            <v>57580</v>
          </cell>
          <cell r="AJ99">
            <v>4902.5</v>
          </cell>
          <cell r="AW99">
            <v>3439</v>
          </cell>
          <cell r="AZ99">
            <v>48049.64</v>
          </cell>
          <cell r="BC99">
            <v>294</v>
          </cell>
        </row>
        <row r="100">
          <cell r="D100">
            <v>89390.720000000001</v>
          </cell>
          <cell r="P100">
            <v>25288.280000000002</v>
          </cell>
          <cell r="AI100">
            <v>45146.22</v>
          </cell>
          <cell r="AJ100">
            <v>4585.41</v>
          </cell>
          <cell r="AW100">
            <v>9517.5</v>
          </cell>
          <cell r="AZ100">
            <v>28613.72</v>
          </cell>
          <cell r="BC100">
            <v>248</v>
          </cell>
        </row>
        <row r="101">
          <cell r="D101">
            <v>40107.189999999995</v>
          </cell>
          <cell r="P101">
            <v>10537.289999999999</v>
          </cell>
          <cell r="AI101">
            <v>31643.63</v>
          </cell>
          <cell r="AJ101">
            <v>2972.9300000000003</v>
          </cell>
          <cell r="AW101">
            <v>11221</v>
          </cell>
          <cell r="AZ101">
            <v>16686.5</v>
          </cell>
          <cell r="BC101">
            <v>0</v>
          </cell>
        </row>
        <row r="102">
          <cell r="D102">
            <v>51954.010000000009</v>
          </cell>
          <cell r="P102">
            <v>21217.200000000001</v>
          </cell>
          <cell r="AI102">
            <v>15293.86</v>
          </cell>
          <cell r="AJ102">
            <v>2270.71</v>
          </cell>
          <cell r="AW102">
            <v>0</v>
          </cell>
          <cell r="AZ102">
            <v>6540.34</v>
          </cell>
          <cell r="BC102">
            <v>62.5</v>
          </cell>
        </row>
        <row r="103">
          <cell r="D103">
            <v>78462.150000000009</v>
          </cell>
          <cell r="P103">
            <v>27463.930000000004</v>
          </cell>
          <cell r="AI103">
            <v>47738.869999999995</v>
          </cell>
          <cell r="AJ103">
            <v>6753.66</v>
          </cell>
          <cell r="AW103">
            <v>0</v>
          </cell>
          <cell r="AZ103">
            <v>11893.27</v>
          </cell>
          <cell r="BC103">
            <v>205.75</v>
          </cell>
        </row>
        <row r="104">
          <cell r="D104">
            <v>32073.65</v>
          </cell>
          <cell r="P104">
            <v>3762.09</v>
          </cell>
          <cell r="AI104">
            <v>13973.619999999999</v>
          </cell>
          <cell r="AJ104">
            <v>1456.18</v>
          </cell>
          <cell r="AW104">
            <v>5949</v>
          </cell>
          <cell r="AZ104">
            <v>5477.46</v>
          </cell>
          <cell r="BC104">
            <v>14</v>
          </cell>
        </row>
        <row r="105">
          <cell r="D105">
            <v>44222.020000000004</v>
          </cell>
          <cell r="P105">
            <v>26971.29</v>
          </cell>
          <cell r="AI105">
            <v>55806.28</v>
          </cell>
          <cell r="AJ105">
            <v>4106.7300000000005</v>
          </cell>
          <cell r="AW105">
            <v>41152.769999999997</v>
          </cell>
          <cell r="AZ105">
            <v>7325.9800000000005</v>
          </cell>
          <cell r="BC105">
            <v>0</v>
          </cell>
        </row>
        <row r="106">
          <cell r="D106">
            <v>21791.219999999998</v>
          </cell>
          <cell r="P106">
            <v>25131.21</v>
          </cell>
          <cell r="AI106">
            <v>34896.610000000008</v>
          </cell>
          <cell r="AJ106">
            <v>4654.6900000000005</v>
          </cell>
          <cell r="AW106">
            <v>26589.45</v>
          </cell>
          <cell r="AZ106">
            <v>1651.8</v>
          </cell>
          <cell r="BC106">
            <v>900</v>
          </cell>
        </row>
        <row r="107">
          <cell r="D107">
            <v>27064.709999999995</v>
          </cell>
          <cell r="P107">
            <v>11774.539999999999</v>
          </cell>
          <cell r="AI107">
            <v>15075.699999999999</v>
          </cell>
          <cell r="AJ107">
            <v>5460.92</v>
          </cell>
          <cell r="AW107">
            <v>9415.7099999999991</v>
          </cell>
          <cell r="AZ107">
            <v>163.84</v>
          </cell>
          <cell r="BC107">
            <v>300</v>
          </cell>
        </row>
        <row r="108">
          <cell r="D108">
            <v>69918.91</v>
          </cell>
          <cell r="P108">
            <v>25580.809999999998</v>
          </cell>
          <cell r="AI108">
            <v>231563.65999999997</v>
          </cell>
          <cell r="AJ108">
            <v>6401.23</v>
          </cell>
          <cell r="AW108">
            <v>201404.69</v>
          </cell>
          <cell r="AZ108">
            <v>10029.150000000001</v>
          </cell>
          <cell r="BC108">
            <v>0</v>
          </cell>
        </row>
        <row r="109">
          <cell r="D109">
            <v>75483.319999999992</v>
          </cell>
          <cell r="P109">
            <v>12042.18</v>
          </cell>
          <cell r="AI109">
            <v>36107.619999999995</v>
          </cell>
          <cell r="AJ109">
            <v>3763.63</v>
          </cell>
          <cell r="AW109">
            <v>17018.939999999999</v>
          </cell>
          <cell r="AZ109">
            <v>9179.869999999999</v>
          </cell>
          <cell r="BC109">
            <v>0</v>
          </cell>
        </row>
        <row r="110">
          <cell r="D110">
            <v>101473.46</v>
          </cell>
          <cell r="P110">
            <v>27021.57</v>
          </cell>
          <cell r="AI110">
            <v>30685.979999999996</v>
          </cell>
          <cell r="AJ110">
            <v>1239.56</v>
          </cell>
          <cell r="AW110">
            <v>17978.61</v>
          </cell>
          <cell r="AZ110">
            <v>7741.0599999999995</v>
          </cell>
          <cell r="BC110">
            <v>0</v>
          </cell>
        </row>
        <row r="111">
          <cell r="D111">
            <v>41859.379999999997</v>
          </cell>
          <cell r="P111">
            <v>29107.000000000004</v>
          </cell>
          <cell r="AI111">
            <v>13967.61</v>
          </cell>
          <cell r="AJ111">
            <v>2459.0300000000002</v>
          </cell>
          <cell r="AW111">
            <v>0</v>
          </cell>
          <cell r="AZ111">
            <v>9996.91</v>
          </cell>
          <cell r="BC111">
            <v>0</v>
          </cell>
        </row>
        <row r="112">
          <cell r="D112">
            <v>71358.720000000001</v>
          </cell>
          <cell r="P112">
            <v>34899.999999999993</v>
          </cell>
          <cell r="AI112">
            <v>23310.979999999996</v>
          </cell>
          <cell r="AJ112">
            <v>5498.4</v>
          </cell>
          <cell r="AW112">
            <v>215.05</v>
          </cell>
          <cell r="AZ112">
            <v>14902.05</v>
          </cell>
          <cell r="BC112">
            <v>0</v>
          </cell>
        </row>
        <row r="113">
          <cell r="D113">
            <v>94127.1</v>
          </cell>
          <cell r="P113">
            <v>35462.699999999997</v>
          </cell>
          <cell r="AI113">
            <v>51900.5</v>
          </cell>
          <cell r="AJ113">
            <v>7317.16</v>
          </cell>
          <cell r="AW113">
            <v>24645.86</v>
          </cell>
          <cell r="AZ113">
            <v>5238.97</v>
          </cell>
          <cell r="BC113">
            <v>0</v>
          </cell>
        </row>
        <row r="114">
          <cell r="D114">
            <v>28694.86</v>
          </cell>
          <cell r="P114">
            <v>216562.32</v>
          </cell>
          <cell r="AI114">
            <v>44595.8</v>
          </cell>
          <cell r="AJ114">
            <v>4393.71</v>
          </cell>
          <cell r="AW114">
            <v>16500.75</v>
          </cell>
          <cell r="AZ114">
            <v>11384.5</v>
          </cell>
          <cell r="BC114">
            <v>6125.83</v>
          </cell>
        </row>
        <row r="115">
          <cell r="D115">
            <v>10554.21</v>
          </cell>
          <cell r="P115">
            <v>50817.42</v>
          </cell>
          <cell r="AI115">
            <v>14667.13</v>
          </cell>
          <cell r="AJ115">
            <v>1453.1</v>
          </cell>
          <cell r="AW115">
            <v>9793.8799999999992</v>
          </cell>
          <cell r="AZ115">
            <v>2084.25</v>
          </cell>
          <cell r="BC115">
            <v>10435</v>
          </cell>
        </row>
        <row r="116">
          <cell r="D116">
            <v>43433.72</v>
          </cell>
          <cell r="P116">
            <v>63505.999999999993</v>
          </cell>
          <cell r="AI116">
            <v>34457.050000000003</v>
          </cell>
          <cell r="AJ116">
            <v>3635.31</v>
          </cell>
          <cell r="AW116">
            <v>14130.5</v>
          </cell>
          <cell r="AZ116">
            <v>15243.1</v>
          </cell>
          <cell r="BC116">
            <v>2160</v>
          </cell>
        </row>
        <row r="117">
          <cell r="D117">
            <v>8324.2999999999993</v>
          </cell>
          <cell r="P117">
            <v>12422.300000000001</v>
          </cell>
          <cell r="AI117">
            <v>15834.699999999999</v>
          </cell>
          <cell r="AJ117">
            <v>3647.4</v>
          </cell>
          <cell r="AW117">
            <v>7466.5</v>
          </cell>
          <cell r="AZ117">
            <v>733</v>
          </cell>
          <cell r="BC117">
            <v>2662.5</v>
          </cell>
        </row>
        <row r="118">
          <cell r="D118">
            <v>32431.7</v>
          </cell>
          <cell r="P118">
            <v>14212.000000000004</v>
          </cell>
          <cell r="AI118">
            <v>14434.800000000001</v>
          </cell>
          <cell r="AJ118">
            <v>2476.9</v>
          </cell>
          <cell r="AW118">
            <v>5528</v>
          </cell>
          <cell r="AZ118">
            <v>1898.4</v>
          </cell>
          <cell r="BC118">
            <v>3090.5</v>
          </cell>
        </row>
        <row r="119">
          <cell r="D119">
            <v>26067.1</v>
          </cell>
          <cell r="P119">
            <v>34109.199999999997</v>
          </cell>
          <cell r="AI119">
            <v>19533.3</v>
          </cell>
          <cell r="AJ119">
            <v>6677.7000000000007</v>
          </cell>
          <cell r="AW119">
            <v>3196.4</v>
          </cell>
          <cell r="AZ119">
            <v>1551.6000000000001</v>
          </cell>
          <cell r="BC119">
            <v>3368</v>
          </cell>
        </row>
        <row r="120">
          <cell r="D120">
            <v>63741.099999999991</v>
          </cell>
          <cell r="P120">
            <v>36237</v>
          </cell>
          <cell r="AI120">
            <v>95287.3</v>
          </cell>
          <cell r="AJ120">
            <v>4205.8</v>
          </cell>
          <cell r="AW120">
            <v>33507</v>
          </cell>
          <cell r="AZ120">
            <v>7862</v>
          </cell>
          <cell r="BC120">
            <v>2179.4</v>
          </cell>
        </row>
        <row r="121">
          <cell r="D121">
            <v>69280.800000000003</v>
          </cell>
          <cell r="P121">
            <v>42741</v>
          </cell>
          <cell r="AI121">
            <v>61095</v>
          </cell>
          <cell r="AJ121">
            <v>3292.4</v>
          </cell>
          <cell r="AW121">
            <v>31820.799999999999</v>
          </cell>
          <cell r="AZ121">
            <v>6055.7999999999993</v>
          </cell>
          <cell r="BC121">
            <v>3773.8999999999996</v>
          </cell>
        </row>
        <row r="122">
          <cell r="D122">
            <v>73983.100000000006</v>
          </cell>
          <cell r="P122">
            <v>49619.100000000006</v>
          </cell>
          <cell r="AI122">
            <v>33949.1</v>
          </cell>
          <cell r="AJ122">
            <v>4413.1000000000004</v>
          </cell>
          <cell r="AW122">
            <v>12757.5</v>
          </cell>
          <cell r="AZ122">
            <v>4610.2</v>
          </cell>
          <cell r="BC122">
            <v>4316</v>
          </cell>
        </row>
        <row r="123">
          <cell r="D123">
            <v>66144.499999999985</v>
          </cell>
          <cell r="P123">
            <v>43871.900000000009</v>
          </cell>
          <cell r="AI123">
            <v>37241.9</v>
          </cell>
          <cell r="AJ123">
            <v>4190.4000000000005</v>
          </cell>
          <cell r="AW123">
            <v>15181</v>
          </cell>
          <cell r="AZ123">
            <v>5607</v>
          </cell>
          <cell r="BC123">
            <v>3425</v>
          </cell>
        </row>
        <row r="124">
          <cell r="D124">
            <v>93343.900000000009</v>
          </cell>
          <cell r="P124">
            <v>62793.30000000001</v>
          </cell>
          <cell r="AI124">
            <v>88512.8</v>
          </cell>
          <cell r="AJ124">
            <v>6009.4</v>
          </cell>
          <cell r="AW124">
            <v>61108.700000000004</v>
          </cell>
          <cell r="AZ124">
            <v>4180</v>
          </cell>
          <cell r="BC124">
            <v>6162.5</v>
          </cell>
        </row>
        <row r="125">
          <cell r="D125">
            <v>81557.2</v>
          </cell>
          <cell r="P125">
            <v>53272.9</v>
          </cell>
          <cell r="AI125">
            <v>38582.300000000003</v>
          </cell>
          <cell r="AJ125">
            <v>3851.6000000000004</v>
          </cell>
          <cell r="AW125">
            <v>23133</v>
          </cell>
          <cell r="AZ125">
            <v>6078.1</v>
          </cell>
          <cell r="BC125">
            <v>1346.3999999999999</v>
          </cell>
        </row>
        <row r="126">
          <cell r="D126">
            <v>57050.999999999993</v>
          </cell>
          <cell r="P126">
            <v>61924.72</v>
          </cell>
          <cell r="AI126">
            <v>63018.990000000005</v>
          </cell>
          <cell r="AJ126">
            <v>3284.09</v>
          </cell>
          <cell r="AW126">
            <v>50756.4</v>
          </cell>
          <cell r="AZ126">
            <v>4423.3999999999996</v>
          </cell>
          <cell r="BC126">
            <v>3884.3999999999996</v>
          </cell>
        </row>
        <row r="127">
          <cell r="D127">
            <v>39140.9</v>
          </cell>
          <cell r="P127">
            <v>46155.880000000012</v>
          </cell>
          <cell r="AI127">
            <v>51647.289999999994</v>
          </cell>
          <cell r="AJ127">
            <v>5595</v>
          </cell>
          <cell r="AW127">
            <v>30540.799999999999</v>
          </cell>
          <cell r="AZ127">
            <v>7034.1999999999989</v>
          </cell>
          <cell r="BC127">
            <v>6570</v>
          </cell>
        </row>
        <row r="128">
          <cell r="D128">
            <v>46546.8</v>
          </cell>
          <cell r="P128">
            <v>45775.679999999993</v>
          </cell>
          <cell r="AI128">
            <v>83182.700000000012</v>
          </cell>
          <cell r="AJ128">
            <v>2477.1000000000004</v>
          </cell>
          <cell r="AW128">
            <v>54623.4</v>
          </cell>
          <cell r="AZ128">
            <v>9619.6</v>
          </cell>
          <cell r="BC128">
            <v>3563</v>
          </cell>
        </row>
        <row r="129">
          <cell r="D129">
            <v>60695.3</v>
          </cell>
          <cell r="P129">
            <v>47125.46</v>
          </cell>
          <cell r="AI129">
            <v>53528.200000000004</v>
          </cell>
          <cell r="AJ129">
            <v>8839.7999999999993</v>
          </cell>
          <cell r="AW129">
            <v>26580.800000000003</v>
          </cell>
          <cell r="AZ129">
            <v>6957</v>
          </cell>
          <cell r="BC129">
            <v>4939.2</v>
          </cell>
        </row>
        <row r="130">
          <cell r="D130">
            <v>43518.5</v>
          </cell>
          <cell r="P130">
            <v>54323.96</v>
          </cell>
          <cell r="AI130">
            <v>46549</v>
          </cell>
          <cell r="AJ130">
            <v>8957.2000000000007</v>
          </cell>
          <cell r="AW130">
            <v>21292.800000000003</v>
          </cell>
          <cell r="AZ130">
            <v>8021.7999999999993</v>
          </cell>
          <cell r="BC130">
            <v>6579</v>
          </cell>
        </row>
        <row r="131">
          <cell r="D131">
            <v>52154.2</v>
          </cell>
          <cell r="P131">
            <v>37475.100000000006</v>
          </cell>
          <cell r="AI131">
            <v>48337.5</v>
          </cell>
          <cell r="AJ131">
            <v>7958</v>
          </cell>
          <cell r="AW131">
            <v>24859.600000000002</v>
          </cell>
          <cell r="AZ131">
            <v>6703.4</v>
          </cell>
          <cell r="BC131">
            <v>4185.4000000000005</v>
          </cell>
        </row>
        <row r="132">
          <cell r="D132">
            <v>92290.2</v>
          </cell>
          <cell r="P132">
            <v>32866.36</v>
          </cell>
          <cell r="AI132">
            <v>35063.68</v>
          </cell>
          <cell r="AJ132">
            <v>3991.2599999999998</v>
          </cell>
          <cell r="AW132">
            <v>17323.12</v>
          </cell>
          <cell r="AZ132">
            <v>6692.0999999999995</v>
          </cell>
          <cell r="BC132">
            <v>3223.8</v>
          </cell>
        </row>
        <row r="133">
          <cell r="D133">
            <v>72139.800000000017</v>
          </cell>
          <cell r="P133">
            <v>41856.050000000003</v>
          </cell>
          <cell r="AI133">
            <v>34526.589999999997</v>
          </cell>
          <cell r="AJ133">
            <v>2732.5</v>
          </cell>
          <cell r="AW133">
            <v>16368.09</v>
          </cell>
          <cell r="AZ133">
            <v>6476</v>
          </cell>
          <cell r="BC133">
            <v>260</v>
          </cell>
        </row>
        <row r="134">
          <cell r="D134">
            <v>61830.799999999996</v>
          </cell>
          <cell r="P134">
            <v>49224.899999999994</v>
          </cell>
          <cell r="AI134">
            <v>27499.659999999996</v>
          </cell>
          <cell r="AJ134">
            <v>4267</v>
          </cell>
          <cell r="AW134">
            <v>14309.46</v>
          </cell>
          <cell r="AZ134">
            <v>4887.3999999999996</v>
          </cell>
          <cell r="BC134">
            <v>3200.6</v>
          </cell>
        </row>
        <row r="135">
          <cell r="D135">
            <v>80678.499999999985</v>
          </cell>
          <cell r="P135">
            <v>52236.100000000006</v>
          </cell>
          <cell r="AI135">
            <v>43511.5</v>
          </cell>
          <cell r="AJ135">
            <v>5574</v>
          </cell>
          <cell r="AW135">
            <v>24750.3</v>
          </cell>
          <cell r="AZ135">
            <v>5840.7999999999993</v>
          </cell>
          <cell r="BC135">
            <v>3104.4</v>
          </cell>
        </row>
        <row r="136">
          <cell r="D136">
            <v>83481.399999999994</v>
          </cell>
          <cell r="P136">
            <v>46084.7</v>
          </cell>
          <cell r="AI136">
            <v>28348</v>
          </cell>
          <cell r="AJ136">
            <v>4547.8</v>
          </cell>
          <cell r="AW136">
            <v>14756.8</v>
          </cell>
          <cell r="AZ136">
            <v>5208</v>
          </cell>
          <cell r="BC136">
            <v>230</v>
          </cell>
        </row>
        <row r="137">
          <cell r="D137">
            <v>73836.100000000006</v>
          </cell>
          <cell r="P137">
            <v>43783.399999999994</v>
          </cell>
          <cell r="AI137">
            <v>20812.63</v>
          </cell>
          <cell r="AJ137">
            <v>3257.93</v>
          </cell>
          <cell r="AW137">
            <v>11765.599999999999</v>
          </cell>
          <cell r="AZ137">
            <v>4018.5</v>
          </cell>
          <cell r="BC137">
            <v>1599.6</v>
          </cell>
        </row>
        <row r="138">
          <cell r="D138">
            <v>37354.5</v>
          </cell>
          <cell r="P138">
            <v>42976.53</v>
          </cell>
          <cell r="AI138">
            <v>31357.08</v>
          </cell>
          <cell r="AJ138">
            <v>3749.38</v>
          </cell>
          <cell r="AW138">
            <v>13030</v>
          </cell>
          <cell r="AZ138">
            <v>7067</v>
          </cell>
          <cell r="BC138">
            <v>1356</v>
          </cell>
        </row>
        <row r="139">
          <cell r="D139">
            <v>41486.000000000007</v>
          </cell>
          <cell r="P139">
            <v>29080.279999999995</v>
          </cell>
          <cell r="AI139">
            <v>39095.299999999996</v>
          </cell>
          <cell r="AJ139">
            <v>3553</v>
          </cell>
          <cell r="AW139">
            <v>30357.999999999996</v>
          </cell>
          <cell r="AZ139">
            <v>3612.2</v>
          </cell>
          <cell r="BC139">
            <v>1352.3999999999999</v>
          </cell>
        </row>
        <row r="140">
          <cell r="D140">
            <v>55607.500000000007</v>
          </cell>
          <cell r="P140">
            <v>31806.92</v>
          </cell>
          <cell r="AI140">
            <v>38280.36</v>
          </cell>
          <cell r="AJ140">
            <v>3302.0600000000004</v>
          </cell>
          <cell r="AW140">
            <v>25764.2</v>
          </cell>
          <cell r="AZ140">
            <v>6094.6</v>
          </cell>
          <cell r="BC140">
            <v>1526.3999999999999</v>
          </cell>
        </row>
        <row r="141">
          <cell r="D141">
            <v>67995.8</v>
          </cell>
          <cell r="P141">
            <v>38650.300000000003</v>
          </cell>
          <cell r="AI141">
            <v>43497.600000000006</v>
          </cell>
          <cell r="AJ141">
            <v>10945</v>
          </cell>
          <cell r="AW141">
            <v>12097.800000000001</v>
          </cell>
          <cell r="AZ141">
            <v>6945.8</v>
          </cell>
          <cell r="BC141">
            <v>5492.4000000000005</v>
          </cell>
        </row>
        <row r="142">
          <cell r="D142">
            <v>66070.899999999994</v>
          </cell>
          <cell r="P142">
            <v>30604.7</v>
          </cell>
          <cell r="AI142">
            <v>32496.299999999996</v>
          </cell>
          <cell r="AJ142">
            <v>7832.7000000000007</v>
          </cell>
          <cell r="AW142">
            <v>14459.599999999999</v>
          </cell>
          <cell r="AZ142">
            <v>4407.6000000000004</v>
          </cell>
          <cell r="BC142">
            <v>5598.5999999999995</v>
          </cell>
        </row>
        <row r="143">
          <cell r="D143">
            <v>78900</v>
          </cell>
          <cell r="P143">
            <v>33456.599999999991</v>
          </cell>
          <cell r="AI143">
            <v>34592.5</v>
          </cell>
          <cell r="AJ143">
            <v>6310.1000000000013</v>
          </cell>
          <cell r="AW143">
            <v>16804.599999999999</v>
          </cell>
          <cell r="AZ143">
            <v>3662.8999999999996</v>
          </cell>
          <cell r="BC143">
            <v>5152.8</v>
          </cell>
        </row>
        <row r="144">
          <cell r="D144">
            <v>67975.100000000006</v>
          </cell>
          <cell r="P144">
            <v>23412.100000000002</v>
          </cell>
          <cell r="AI144">
            <v>42997</v>
          </cell>
          <cell r="AJ144">
            <v>4839.5</v>
          </cell>
          <cell r="AW144">
            <v>25188.799999999999</v>
          </cell>
          <cell r="AZ144">
            <v>6333.9999999999991</v>
          </cell>
          <cell r="BC144">
            <v>737.1</v>
          </cell>
        </row>
        <row r="145">
          <cell r="D145">
            <v>94252.099999999991</v>
          </cell>
          <cell r="P145">
            <v>17158.900000000001</v>
          </cell>
          <cell r="AI145">
            <v>38102.199999999997</v>
          </cell>
          <cell r="AJ145">
            <v>4306.7999999999993</v>
          </cell>
          <cell r="AW145">
            <v>21484.2</v>
          </cell>
          <cell r="AZ145">
            <v>6125.9</v>
          </cell>
          <cell r="BC145">
            <v>1321.1</v>
          </cell>
        </row>
        <row r="146">
          <cell r="D146">
            <v>91235.5</v>
          </cell>
          <cell r="P146">
            <v>23990.359999999997</v>
          </cell>
          <cell r="AI146">
            <v>54315.8</v>
          </cell>
          <cell r="AJ146">
            <v>7114.1</v>
          </cell>
          <cell r="AW146">
            <v>31730.2</v>
          </cell>
          <cell r="AZ146">
            <v>6899.4</v>
          </cell>
          <cell r="BC146">
            <v>375</v>
          </cell>
        </row>
        <row r="147">
          <cell r="D147">
            <v>89578.3</v>
          </cell>
          <cell r="P147">
            <v>38542.400000000001</v>
          </cell>
          <cell r="AI147">
            <v>55210.2</v>
          </cell>
          <cell r="AJ147">
            <v>5278</v>
          </cell>
          <cell r="AW147">
            <v>32404.5</v>
          </cell>
          <cell r="AZ147">
            <v>8962</v>
          </cell>
          <cell r="BC147">
            <v>980</v>
          </cell>
        </row>
        <row r="148">
          <cell r="D148">
            <v>98244.4</v>
          </cell>
          <cell r="P148">
            <v>46098.720000000001</v>
          </cell>
          <cell r="AI148">
            <v>45099.3</v>
          </cell>
          <cell r="AJ148">
            <v>5326.9</v>
          </cell>
          <cell r="AW148">
            <v>25688.000000000004</v>
          </cell>
          <cell r="AZ148">
            <v>8386.5</v>
          </cell>
          <cell r="BC148">
            <v>110</v>
          </cell>
        </row>
        <row r="149">
          <cell r="D149">
            <v>88996.400000000009</v>
          </cell>
          <cell r="P149">
            <v>48211.4</v>
          </cell>
          <cell r="AI149">
            <v>39368.199999999997</v>
          </cell>
          <cell r="AJ149">
            <v>4850.6000000000004</v>
          </cell>
          <cell r="AW149">
            <v>23828.999999999996</v>
          </cell>
          <cell r="AZ149">
            <v>6862.2000000000007</v>
          </cell>
          <cell r="BC149">
            <v>579.38</v>
          </cell>
        </row>
        <row r="150">
          <cell r="D150">
            <v>48548.100000000006</v>
          </cell>
          <cell r="P150">
            <v>51597.19999999999</v>
          </cell>
          <cell r="AI150">
            <v>96146.5</v>
          </cell>
          <cell r="AJ150">
            <v>4557.8</v>
          </cell>
          <cell r="AW150">
            <v>74725</v>
          </cell>
          <cell r="AZ150">
            <v>10146.6</v>
          </cell>
          <cell r="BC150">
            <v>1179.8999999999999</v>
          </cell>
        </row>
        <row r="151">
          <cell r="D151">
            <v>45903.6</v>
          </cell>
          <cell r="P151">
            <v>32711.4</v>
          </cell>
          <cell r="AI151">
            <v>58920.5</v>
          </cell>
          <cell r="AJ151">
            <v>3394.6000000000004</v>
          </cell>
          <cell r="AW151">
            <v>39256</v>
          </cell>
          <cell r="AZ151">
            <v>11580.2</v>
          </cell>
          <cell r="BC151">
            <v>1764</v>
          </cell>
        </row>
        <row r="152">
          <cell r="D152">
            <v>69524.700000000012</v>
          </cell>
          <cell r="P152">
            <v>39151.599999999999</v>
          </cell>
          <cell r="AI152">
            <v>90426.299999999988</v>
          </cell>
          <cell r="AJ152">
            <v>2673.5</v>
          </cell>
          <cell r="AW152">
            <v>68162.399999999994</v>
          </cell>
          <cell r="AZ152">
            <v>15755.9</v>
          </cell>
          <cell r="BC152">
            <v>1446</v>
          </cell>
        </row>
        <row r="153">
          <cell r="D153">
            <v>84538.4</v>
          </cell>
          <cell r="P153">
            <v>63861.200000000012</v>
          </cell>
          <cell r="AI153">
            <v>49144.2</v>
          </cell>
          <cell r="AJ153">
            <v>10281</v>
          </cell>
          <cell r="AW153">
            <v>18906</v>
          </cell>
          <cell r="AZ153">
            <v>16307.2</v>
          </cell>
          <cell r="BC153">
            <v>3410.3999999999996</v>
          </cell>
        </row>
        <row r="154">
          <cell r="D154">
            <v>56055</v>
          </cell>
          <cell r="P154">
            <v>26621.91</v>
          </cell>
          <cell r="AI154">
            <v>39482.400000000001</v>
          </cell>
          <cell r="AJ154">
            <v>6608.5000000000009</v>
          </cell>
          <cell r="AW154">
            <v>22387.199999999997</v>
          </cell>
          <cell r="AZ154">
            <v>8108.3</v>
          </cell>
          <cell r="BC154">
            <v>3567.3</v>
          </cell>
        </row>
        <row r="155">
          <cell r="D155">
            <v>127566.9</v>
          </cell>
          <cell r="P155">
            <v>32470.560000000001</v>
          </cell>
          <cell r="AI155">
            <v>52863</v>
          </cell>
          <cell r="AJ155">
            <v>6090</v>
          </cell>
          <cell r="AW155">
            <v>31097.599999999999</v>
          </cell>
          <cell r="AZ155">
            <v>11026.8</v>
          </cell>
          <cell r="BC155">
            <v>4777.3</v>
          </cell>
        </row>
        <row r="156">
          <cell r="D156">
            <v>68515.8</v>
          </cell>
          <cell r="P156">
            <v>30912.799999999999</v>
          </cell>
          <cell r="AI156">
            <v>82135.860000000015</v>
          </cell>
          <cell r="AJ156">
            <v>4103.16</v>
          </cell>
          <cell r="AW156">
            <v>58252.800000000003</v>
          </cell>
          <cell r="AZ156">
            <v>11385.099999999999</v>
          </cell>
          <cell r="BC156">
            <v>719.2</v>
          </cell>
        </row>
        <row r="157">
          <cell r="D157">
            <v>83414.199999999983</v>
          </cell>
          <cell r="P157">
            <v>36405.539999999994</v>
          </cell>
          <cell r="AI157">
            <v>31606.78</v>
          </cell>
          <cell r="AJ157">
            <v>4452.68</v>
          </cell>
          <cell r="AW157">
            <v>9414.9</v>
          </cell>
          <cell r="AZ157">
            <v>13752.5</v>
          </cell>
          <cell r="BC157">
            <v>1074.5999999999999</v>
          </cell>
        </row>
        <row r="158">
          <cell r="D158">
            <v>107287.00000000001</v>
          </cell>
          <cell r="P158">
            <v>39851.799999999996</v>
          </cell>
          <cell r="AI158">
            <v>60823.909999999996</v>
          </cell>
          <cell r="AJ158">
            <v>4974.4100000000008</v>
          </cell>
          <cell r="AW158">
            <v>30766.400000000001</v>
          </cell>
          <cell r="AZ158">
            <v>18081.599999999999</v>
          </cell>
          <cell r="BC158">
            <v>516</v>
          </cell>
        </row>
        <row r="159">
          <cell r="D159">
            <v>144190.27000000002</v>
          </cell>
          <cell r="P159">
            <v>181066.81999999998</v>
          </cell>
          <cell r="AI159">
            <v>38289.089999999997</v>
          </cell>
          <cell r="AJ159">
            <v>5005.9699999999993</v>
          </cell>
          <cell r="AW159">
            <v>12469.43</v>
          </cell>
          <cell r="AZ159">
            <v>19074.25</v>
          </cell>
          <cell r="BC159">
            <v>1222.22</v>
          </cell>
        </row>
        <row r="160">
          <cell r="D160">
            <v>120014.97</v>
          </cell>
          <cell r="P160">
            <v>73789.290000000008</v>
          </cell>
          <cell r="AI160">
            <v>131445.19999999998</v>
          </cell>
          <cell r="AJ160">
            <v>4064.6400000000003</v>
          </cell>
          <cell r="AW160">
            <v>106763.29</v>
          </cell>
          <cell r="AZ160">
            <v>15604.18</v>
          </cell>
          <cell r="BC160">
            <v>807.13</v>
          </cell>
        </row>
        <row r="161">
          <cell r="D161">
            <v>123437.49</v>
          </cell>
          <cell r="P161">
            <v>52468.340000000004</v>
          </cell>
          <cell r="AI161">
            <v>53021.23</v>
          </cell>
          <cell r="AJ161">
            <v>3496.62</v>
          </cell>
          <cell r="AW161">
            <v>30618.91</v>
          </cell>
          <cell r="AZ161">
            <v>14427.529999999999</v>
          </cell>
          <cell r="BC161">
            <v>700</v>
          </cell>
        </row>
        <row r="162">
          <cell r="D162">
            <v>83127.010000000009</v>
          </cell>
          <cell r="P162">
            <v>47500.890000000007</v>
          </cell>
          <cell r="AI162">
            <v>81339.649999999994</v>
          </cell>
          <cell r="AJ162">
            <v>3258.3</v>
          </cell>
          <cell r="AW162">
            <v>31419.85</v>
          </cell>
          <cell r="AZ162">
            <v>20804.66</v>
          </cell>
          <cell r="BC162">
            <v>1300</v>
          </cell>
        </row>
        <row r="163">
          <cell r="D163">
            <v>17454.37</v>
          </cell>
          <cell r="P163">
            <v>15174.079999999998</v>
          </cell>
          <cell r="AI163">
            <v>15837.390000000001</v>
          </cell>
          <cell r="AJ163">
            <v>2459.6899999999996</v>
          </cell>
          <cell r="AW163">
            <v>1447.66</v>
          </cell>
          <cell r="AZ163">
            <v>7610.2900000000009</v>
          </cell>
          <cell r="BC163">
            <v>132.47999999999999</v>
          </cell>
        </row>
        <row r="164">
          <cell r="D164">
            <v>52569.840000000004</v>
          </cell>
          <cell r="P164">
            <v>21562.840000000004</v>
          </cell>
          <cell r="AI164">
            <v>12248.57</v>
          </cell>
          <cell r="AJ164">
            <v>1451.31</v>
          </cell>
          <cell r="AW164">
            <v>2814.7</v>
          </cell>
          <cell r="AZ164">
            <v>4201.51</v>
          </cell>
          <cell r="BC164">
            <v>900</v>
          </cell>
        </row>
        <row r="165">
          <cell r="D165">
            <v>6445.7399999999989</v>
          </cell>
          <cell r="P165">
            <v>6878.34</v>
          </cell>
          <cell r="AI165">
            <v>11530.100000000002</v>
          </cell>
          <cell r="AJ165">
            <v>1792.78</v>
          </cell>
          <cell r="AW165">
            <v>1539.52</v>
          </cell>
          <cell r="AZ165">
            <v>3332.61</v>
          </cell>
          <cell r="BC165">
            <v>142.86000000000001</v>
          </cell>
        </row>
        <row r="166">
          <cell r="D166">
            <v>3363.97</v>
          </cell>
          <cell r="P166">
            <v>6520.81</v>
          </cell>
          <cell r="AI166">
            <v>10464.83</v>
          </cell>
          <cell r="AJ166">
            <v>2213.0299999999997</v>
          </cell>
          <cell r="AW166">
            <v>2670.5</v>
          </cell>
          <cell r="AZ166">
            <v>1319.58</v>
          </cell>
          <cell r="BC166">
            <v>444.44</v>
          </cell>
        </row>
        <row r="167">
          <cell r="D167">
            <v>8089.7800000000007</v>
          </cell>
          <cell r="P167">
            <v>13856.64</v>
          </cell>
          <cell r="AI167">
            <v>12176.29</v>
          </cell>
          <cell r="AJ167">
            <v>1857.47</v>
          </cell>
          <cell r="AW167">
            <v>4235.1099999999997</v>
          </cell>
          <cell r="AZ167">
            <v>2243.6099999999997</v>
          </cell>
          <cell r="BC167">
            <v>833.33</v>
          </cell>
        </row>
        <row r="168">
          <cell r="D168">
            <v>16054.24</v>
          </cell>
          <cell r="P168">
            <v>15327.05</v>
          </cell>
          <cell r="AI168">
            <v>32420.960000000003</v>
          </cell>
          <cell r="AJ168">
            <v>2984.91</v>
          </cell>
          <cell r="AW168">
            <v>15696.42</v>
          </cell>
          <cell r="AZ168">
            <v>6073.29</v>
          </cell>
          <cell r="BC168">
            <v>690.85</v>
          </cell>
        </row>
        <row r="169">
          <cell r="D169">
            <v>21663.410000000003</v>
          </cell>
          <cell r="P169">
            <v>24091.82</v>
          </cell>
          <cell r="AI169">
            <v>19415.690000000002</v>
          </cell>
          <cell r="AJ169">
            <v>2873.96</v>
          </cell>
          <cell r="AW169">
            <v>2357.33</v>
          </cell>
          <cell r="AZ169">
            <v>6617.4</v>
          </cell>
          <cell r="BC169">
            <v>857</v>
          </cell>
        </row>
        <row r="170">
          <cell r="D170">
            <v>41893.799999999996</v>
          </cell>
          <cell r="P170">
            <v>26366.71</v>
          </cell>
          <cell r="AI170">
            <v>35096.979999999996</v>
          </cell>
          <cell r="AJ170">
            <v>3777.96</v>
          </cell>
          <cell r="AW170">
            <v>12007.8</v>
          </cell>
          <cell r="AZ170">
            <v>14388.78</v>
          </cell>
          <cell r="BC170">
            <v>633.86</v>
          </cell>
        </row>
        <row r="171">
          <cell r="D171">
            <v>39254.14</v>
          </cell>
          <cell r="P171">
            <v>37397.919999999998</v>
          </cell>
          <cell r="AI171">
            <v>12501.970000000001</v>
          </cell>
          <cell r="AJ171">
            <v>3366.46</v>
          </cell>
          <cell r="AW171">
            <v>3083.88</v>
          </cell>
          <cell r="AZ171">
            <v>1040.23</v>
          </cell>
          <cell r="BC171">
            <v>836</v>
          </cell>
        </row>
        <row r="172">
          <cell r="D172">
            <v>44115.509999999995</v>
          </cell>
          <cell r="P172">
            <v>53691.34</v>
          </cell>
          <cell r="AI172">
            <v>19071.080000000002</v>
          </cell>
          <cell r="AJ172">
            <v>2519.3500000000004</v>
          </cell>
          <cell r="AW172">
            <v>11534.04</v>
          </cell>
          <cell r="AZ172">
            <v>2344.58</v>
          </cell>
          <cell r="BC172">
            <v>689</v>
          </cell>
        </row>
        <row r="173">
          <cell r="D173">
            <v>37604.400000000001</v>
          </cell>
          <cell r="P173">
            <v>52968.450000000012</v>
          </cell>
          <cell r="AI173">
            <v>27231.3</v>
          </cell>
          <cell r="AJ173">
            <v>4757.5200000000004</v>
          </cell>
          <cell r="AW173">
            <v>17602.98</v>
          </cell>
          <cell r="AZ173">
            <v>2647.28</v>
          </cell>
          <cell r="BC173">
            <v>517</v>
          </cell>
        </row>
        <row r="174">
          <cell r="D174">
            <v>27144.04</v>
          </cell>
          <cell r="P174">
            <v>23200.71</v>
          </cell>
          <cell r="AI174">
            <v>62813.62</v>
          </cell>
          <cell r="AJ174">
            <v>17687.57</v>
          </cell>
          <cell r="AW174">
            <v>20290.63</v>
          </cell>
          <cell r="AZ174">
            <v>9893.25</v>
          </cell>
          <cell r="BC174">
            <v>30</v>
          </cell>
        </row>
        <row r="175">
          <cell r="D175">
            <v>23695.56</v>
          </cell>
          <cell r="P175">
            <v>29998.959999999999</v>
          </cell>
          <cell r="AI175">
            <v>49496.62</v>
          </cell>
          <cell r="AJ175">
            <v>13597.880000000001</v>
          </cell>
          <cell r="AW175">
            <v>14735.32</v>
          </cell>
          <cell r="AZ175">
            <v>6429.5300000000007</v>
          </cell>
          <cell r="BC175">
            <v>75</v>
          </cell>
        </row>
        <row r="176">
          <cell r="D176">
            <v>29992.46</v>
          </cell>
          <cell r="P176">
            <v>24879.95</v>
          </cell>
          <cell r="AI176">
            <v>174875.5</v>
          </cell>
          <cell r="AJ176">
            <v>27319.339999999997</v>
          </cell>
          <cell r="AW176">
            <v>103431.28</v>
          </cell>
          <cell r="AZ176">
            <v>30237</v>
          </cell>
          <cell r="BC176">
            <v>155.38</v>
          </cell>
        </row>
        <row r="177">
          <cell r="D177">
            <v>371234.67</v>
          </cell>
          <cell r="P177">
            <v>17819.810000000001</v>
          </cell>
          <cell r="AI177">
            <v>441032.46</v>
          </cell>
          <cell r="AJ177">
            <v>30886.21</v>
          </cell>
          <cell r="AW177">
            <v>352750</v>
          </cell>
          <cell r="AZ177">
            <v>53949.25</v>
          </cell>
          <cell r="BC177">
            <v>156.75</v>
          </cell>
        </row>
        <row r="178">
          <cell r="D178">
            <v>309942.69</v>
          </cell>
          <cell r="P178">
            <v>12007.979999999998</v>
          </cell>
          <cell r="AI178">
            <v>198192.18</v>
          </cell>
          <cell r="AJ178">
            <v>21581.599999999999</v>
          </cell>
          <cell r="AW178">
            <v>121600</v>
          </cell>
          <cell r="AZ178">
            <v>42710.5</v>
          </cell>
          <cell r="BC178">
            <v>37.5</v>
          </cell>
        </row>
        <row r="179">
          <cell r="D179">
            <v>261525</v>
          </cell>
          <cell r="P179">
            <v>17733.21</v>
          </cell>
          <cell r="AI179">
            <v>143381.96000000002</v>
          </cell>
          <cell r="AJ179">
            <v>15894.67</v>
          </cell>
          <cell r="AW179">
            <v>88381.94</v>
          </cell>
          <cell r="AZ179">
            <v>33308</v>
          </cell>
          <cell r="BC179">
            <v>36</v>
          </cell>
        </row>
        <row r="180">
          <cell r="D180">
            <v>19201.189999999999</v>
          </cell>
          <cell r="P180">
            <v>29431.460000000006</v>
          </cell>
          <cell r="AI180">
            <v>17882.809999999998</v>
          </cell>
          <cell r="AJ180">
            <v>2228.5299999999997</v>
          </cell>
          <cell r="AW180">
            <v>11311.71</v>
          </cell>
          <cell r="AZ180">
            <v>3164.2</v>
          </cell>
          <cell r="BC180">
            <v>526.03</v>
          </cell>
        </row>
        <row r="181">
          <cell r="D181">
            <v>28061.62</v>
          </cell>
          <cell r="P181">
            <v>33541.979999999996</v>
          </cell>
          <cell r="AI181">
            <v>57886.41</v>
          </cell>
          <cell r="AJ181">
            <v>2653.79</v>
          </cell>
          <cell r="AW181">
            <v>38691.69</v>
          </cell>
          <cell r="AZ181">
            <v>8603.59</v>
          </cell>
          <cell r="BC181">
            <v>520.33000000000004</v>
          </cell>
        </row>
        <row r="182">
          <cell r="D182">
            <v>15227.19</v>
          </cell>
          <cell r="P182">
            <v>17128.5</v>
          </cell>
          <cell r="AI182">
            <v>22523.719999999998</v>
          </cell>
          <cell r="AJ182">
            <v>796.55</v>
          </cell>
          <cell r="AW182">
            <v>16013.06</v>
          </cell>
          <cell r="AZ182">
            <v>3499.6899999999996</v>
          </cell>
          <cell r="BC182">
            <v>130.08000000000001</v>
          </cell>
        </row>
        <row r="183">
          <cell r="D183">
            <v>16846.77</v>
          </cell>
          <cell r="P183">
            <v>33823.199999999997</v>
          </cell>
          <cell r="AI183">
            <v>20337.900000000001</v>
          </cell>
          <cell r="AJ183">
            <v>2513.84</v>
          </cell>
          <cell r="AW183">
            <v>6926.17</v>
          </cell>
          <cell r="AZ183">
            <v>5060.25</v>
          </cell>
          <cell r="BC183">
            <v>0</v>
          </cell>
        </row>
        <row r="184">
          <cell r="D184">
            <v>20030.760000000002</v>
          </cell>
          <cell r="P184">
            <v>44077.08</v>
          </cell>
          <cell r="AI184">
            <v>95979.94</v>
          </cell>
          <cell r="AJ184">
            <v>3044.96</v>
          </cell>
          <cell r="AW184">
            <v>80970.17</v>
          </cell>
          <cell r="AZ184">
            <v>7482.8</v>
          </cell>
          <cell r="BC184">
            <v>0</v>
          </cell>
        </row>
        <row r="185">
          <cell r="D185">
            <v>18337.810000000001</v>
          </cell>
          <cell r="P185">
            <v>23269.62</v>
          </cell>
          <cell r="AI185">
            <v>45535.19</v>
          </cell>
          <cell r="AJ185">
            <v>1607.87</v>
          </cell>
          <cell r="AW185">
            <v>32576.23</v>
          </cell>
          <cell r="AZ185">
            <v>5075.7299999999996</v>
          </cell>
          <cell r="BC185">
            <v>626.75</v>
          </cell>
        </row>
        <row r="186">
          <cell r="D186">
            <v>17894.45</v>
          </cell>
          <cell r="P186">
            <v>21894.81</v>
          </cell>
          <cell r="AI186">
            <v>93267.19</v>
          </cell>
          <cell r="AJ186">
            <v>2838.35</v>
          </cell>
          <cell r="AW186">
            <v>77047.7</v>
          </cell>
          <cell r="AZ186">
            <v>6961.55</v>
          </cell>
          <cell r="BC186">
            <v>1334</v>
          </cell>
        </row>
        <row r="187">
          <cell r="D187">
            <v>16166.52</v>
          </cell>
          <cell r="P187">
            <v>16014.31</v>
          </cell>
          <cell r="AI187">
            <v>66079.28</v>
          </cell>
          <cell r="AJ187">
            <v>1596.87</v>
          </cell>
          <cell r="AW187">
            <v>42524.93</v>
          </cell>
          <cell r="AZ187">
            <v>3974.58</v>
          </cell>
          <cell r="BC187">
            <v>667.19</v>
          </cell>
        </row>
        <row r="188">
          <cell r="D188">
            <v>57254.390000000007</v>
          </cell>
          <cell r="P188">
            <v>17736.009999999998</v>
          </cell>
          <cell r="AI188">
            <v>76582.77</v>
          </cell>
          <cell r="AJ188">
            <v>1888.91</v>
          </cell>
          <cell r="AW188">
            <v>58828.04</v>
          </cell>
          <cell r="AZ188">
            <v>3306.24</v>
          </cell>
          <cell r="BC188">
            <v>843.75</v>
          </cell>
        </row>
        <row r="189">
          <cell r="D189">
            <v>25906.9</v>
          </cell>
          <cell r="P189">
            <v>43879.44</v>
          </cell>
          <cell r="AI189">
            <v>70683.509999999995</v>
          </cell>
          <cell r="AJ189">
            <v>3642.4</v>
          </cell>
          <cell r="AW189">
            <v>49655.12</v>
          </cell>
          <cell r="AZ189">
            <v>7374.84</v>
          </cell>
          <cell r="BC189">
            <v>3261.67</v>
          </cell>
        </row>
        <row r="190">
          <cell r="D190">
            <v>26976.77</v>
          </cell>
          <cell r="P190">
            <v>46258.61</v>
          </cell>
          <cell r="AI190">
            <v>58210.62</v>
          </cell>
          <cell r="AJ190">
            <v>3224.4</v>
          </cell>
          <cell r="AW190">
            <v>45192.4</v>
          </cell>
          <cell r="AZ190">
            <v>6487</v>
          </cell>
          <cell r="BC190">
            <v>1512.53</v>
          </cell>
        </row>
        <row r="191">
          <cell r="D191">
            <v>26027.25</v>
          </cell>
          <cell r="P191">
            <v>66217.88</v>
          </cell>
          <cell r="AI191">
            <v>97192.44</v>
          </cell>
          <cell r="AJ191">
            <v>4019.5</v>
          </cell>
          <cell r="AW191">
            <v>76991.14</v>
          </cell>
          <cell r="AZ191">
            <v>8995.0499999999993</v>
          </cell>
          <cell r="BC191">
            <v>1461.7</v>
          </cell>
        </row>
        <row r="192">
          <cell r="D192">
            <v>25740.44</v>
          </cell>
          <cell r="P192">
            <v>53759.62</v>
          </cell>
          <cell r="AI192">
            <v>76347.750000000015</v>
          </cell>
          <cell r="AJ192">
            <v>2507.11</v>
          </cell>
          <cell r="AW192">
            <v>67984.88</v>
          </cell>
          <cell r="AZ192">
            <v>3769.38</v>
          </cell>
          <cell r="BC192">
            <v>1131.92</v>
          </cell>
        </row>
        <row r="193">
          <cell r="D193">
            <v>41923.509999999995</v>
          </cell>
          <cell r="P193">
            <v>52929.159999999996</v>
          </cell>
          <cell r="AI193">
            <v>83709.88</v>
          </cell>
          <cell r="AJ193">
            <v>3434.61</v>
          </cell>
          <cell r="AW193">
            <v>69573.279999999999</v>
          </cell>
          <cell r="AZ193">
            <v>5903.3600000000006</v>
          </cell>
          <cell r="BC193">
            <v>1570.31</v>
          </cell>
        </row>
        <row r="194">
          <cell r="D194">
            <v>34514.93</v>
          </cell>
          <cell r="P194">
            <v>40550.120000000003</v>
          </cell>
          <cell r="AI194">
            <v>45442.37</v>
          </cell>
          <cell r="AJ194">
            <v>3713.6400000000003</v>
          </cell>
          <cell r="AW194">
            <v>27840.63</v>
          </cell>
          <cell r="AZ194">
            <v>9832.14</v>
          </cell>
          <cell r="BC194">
            <v>3000</v>
          </cell>
        </row>
        <row r="195">
          <cell r="D195">
            <v>70779.87</v>
          </cell>
          <cell r="P195">
            <v>52605.689999999995</v>
          </cell>
          <cell r="AI195">
            <v>43622.130000000005</v>
          </cell>
          <cell r="AJ195">
            <v>1270.76</v>
          </cell>
          <cell r="AW195">
            <v>29011.13</v>
          </cell>
          <cell r="AZ195">
            <v>10440.700000000001</v>
          </cell>
          <cell r="BC195">
            <v>1272</v>
          </cell>
        </row>
        <row r="196">
          <cell r="D196">
            <v>67457.510000000009</v>
          </cell>
          <cell r="P196">
            <v>62225.229999999996</v>
          </cell>
          <cell r="AI196">
            <v>65319.850000000006</v>
          </cell>
          <cell r="AJ196">
            <v>1361.6100000000001</v>
          </cell>
          <cell r="AW196">
            <v>47810.85</v>
          </cell>
          <cell r="AZ196">
            <v>9582.380000000001</v>
          </cell>
          <cell r="BC196">
            <v>163.12</v>
          </cell>
        </row>
        <row r="197">
          <cell r="D197">
            <v>61070.42</v>
          </cell>
          <cell r="P197">
            <v>50644.31</v>
          </cell>
          <cell r="AI197">
            <v>83930.59</v>
          </cell>
          <cell r="AJ197">
            <v>2850.25</v>
          </cell>
          <cell r="AW197">
            <v>67099.33</v>
          </cell>
          <cell r="AZ197">
            <v>8765.26</v>
          </cell>
          <cell r="BC197">
            <v>1700</v>
          </cell>
        </row>
        <row r="198">
          <cell r="D198">
            <v>177842.91999999998</v>
          </cell>
          <cell r="P198">
            <v>108593.09</v>
          </cell>
          <cell r="AI198">
            <v>315087.65000000002</v>
          </cell>
          <cell r="AJ198">
            <v>7140</v>
          </cell>
          <cell r="AW198">
            <v>200699.04</v>
          </cell>
          <cell r="AZ198">
            <v>17826.25</v>
          </cell>
          <cell r="BC198">
            <v>2298.4</v>
          </cell>
        </row>
        <row r="199">
          <cell r="D199">
            <v>290697.19000000006</v>
          </cell>
          <cell r="P199">
            <v>109722.21</v>
          </cell>
          <cell r="AI199">
            <v>283936.95999999996</v>
          </cell>
          <cell r="AJ199">
            <v>7753.33</v>
          </cell>
          <cell r="AW199">
            <v>99033.600000000006</v>
          </cell>
          <cell r="AZ199">
            <v>15906.65</v>
          </cell>
          <cell r="BC199">
            <v>1568</v>
          </cell>
        </row>
        <row r="200">
          <cell r="D200">
            <v>235256.94</v>
          </cell>
          <cell r="P200">
            <v>125519.51999999999</v>
          </cell>
          <cell r="AI200">
            <v>490408.06999999995</v>
          </cell>
          <cell r="AJ200">
            <v>7004.08</v>
          </cell>
          <cell r="AW200">
            <v>406569.89999999997</v>
          </cell>
          <cell r="AZ200">
            <v>22537.25</v>
          </cell>
          <cell r="BC200">
            <v>5151.8500000000004</v>
          </cell>
        </row>
        <row r="201">
          <cell r="D201">
            <v>205479.47999999998</v>
          </cell>
          <cell r="P201">
            <v>87983.49</v>
          </cell>
          <cell r="AI201">
            <v>148090.64000000001</v>
          </cell>
          <cell r="AJ201">
            <v>13494.94</v>
          </cell>
          <cell r="AW201">
            <v>75845.64</v>
          </cell>
          <cell r="AZ201">
            <v>22720.49</v>
          </cell>
          <cell r="BC201">
            <v>6453</v>
          </cell>
        </row>
        <row r="202">
          <cell r="D202">
            <v>187514.34</v>
          </cell>
          <cell r="P202">
            <v>87276.72</v>
          </cell>
          <cell r="AI202">
            <v>128967.42</v>
          </cell>
          <cell r="AJ202">
            <v>12163.1</v>
          </cell>
          <cell r="AW202">
            <v>80553.94</v>
          </cell>
          <cell r="AZ202">
            <v>17661.66</v>
          </cell>
          <cell r="BC202">
            <v>5444</v>
          </cell>
        </row>
        <row r="203">
          <cell r="D203">
            <v>248174.19999999998</v>
          </cell>
          <cell r="P203">
            <v>99285.610000000015</v>
          </cell>
          <cell r="AI203">
            <v>216250.78999999998</v>
          </cell>
          <cell r="AJ203">
            <v>8951.3700000000008</v>
          </cell>
          <cell r="AW203">
            <v>182127.44999999998</v>
          </cell>
          <cell r="AZ203">
            <v>14537.58</v>
          </cell>
          <cell r="BC203">
            <v>5518</v>
          </cell>
        </row>
        <row r="204">
          <cell r="D204">
            <v>175931.37000000002</v>
          </cell>
          <cell r="P204">
            <v>112796.8</v>
          </cell>
          <cell r="AI204">
            <v>85891.489999999991</v>
          </cell>
          <cell r="AJ204">
            <v>9356.7899999999991</v>
          </cell>
          <cell r="AW204">
            <v>36038.410000000003</v>
          </cell>
          <cell r="AZ204">
            <v>25936.49</v>
          </cell>
          <cell r="BC204">
            <v>4886.5</v>
          </cell>
        </row>
        <row r="205">
          <cell r="D205">
            <v>179774.9</v>
          </cell>
          <cell r="P205">
            <v>111603.15</v>
          </cell>
          <cell r="AI205">
            <v>108792.25</v>
          </cell>
          <cell r="AJ205">
            <v>6825.82</v>
          </cell>
          <cell r="AW205">
            <v>68317.009999999995</v>
          </cell>
          <cell r="AZ205">
            <v>19352.490000000002</v>
          </cell>
          <cell r="BC205">
            <v>8277</v>
          </cell>
        </row>
        <row r="206">
          <cell r="D206">
            <v>164310.66</v>
          </cell>
          <cell r="P206">
            <v>105880.48</v>
          </cell>
          <cell r="AI206">
            <v>108293.08</v>
          </cell>
          <cell r="AJ206">
            <v>8898.34</v>
          </cell>
          <cell r="AW206">
            <v>65718.48</v>
          </cell>
          <cell r="AZ206">
            <v>15812.92</v>
          </cell>
          <cell r="BC206">
            <v>7298.3</v>
          </cell>
        </row>
        <row r="207">
          <cell r="D207">
            <v>110710.48</v>
          </cell>
          <cell r="P207">
            <v>103250.14000000001</v>
          </cell>
          <cell r="AI207">
            <v>61591.28</v>
          </cell>
          <cell r="AJ207">
            <v>11513.560000000001</v>
          </cell>
          <cell r="AW207">
            <v>23050.66</v>
          </cell>
          <cell r="AZ207">
            <v>15104.1</v>
          </cell>
          <cell r="BC207">
            <v>3387.5</v>
          </cell>
        </row>
        <row r="208">
          <cell r="D208">
            <v>91269.099999999991</v>
          </cell>
          <cell r="P208">
            <v>89140.31</v>
          </cell>
          <cell r="AI208">
            <v>95832.35</v>
          </cell>
          <cell r="AJ208">
            <v>10992.29</v>
          </cell>
          <cell r="AW208">
            <v>66872.930000000008</v>
          </cell>
          <cell r="AZ208">
            <v>11399.73</v>
          </cell>
          <cell r="BC208">
            <v>2266</v>
          </cell>
        </row>
        <row r="209">
          <cell r="D209">
            <v>91984.42</v>
          </cell>
          <cell r="P209">
            <v>128328.58</v>
          </cell>
          <cell r="AI209">
            <v>90962.14</v>
          </cell>
          <cell r="AJ209">
            <v>9654.07</v>
          </cell>
          <cell r="AW209">
            <v>36885.4</v>
          </cell>
          <cell r="AZ209">
            <v>21561.780000000002</v>
          </cell>
          <cell r="BC209">
            <v>2401.84</v>
          </cell>
        </row>
        <row r="210">
          <cell r="D210">
            <v>82401.05</v>
          </cell>
          <cell r="P210">
            <v>141383.00999999998</v>
          </cell>
          <cell r="AI210">
            <v>130083.58</v>
          </cell>
          <cell r="AJ210">
            <v>8529.1</v>
          </cell>
          <cell r="AW210">
            <v>70558.63</v>
          </cell>
          <cell r="AZ210">
            <v>22078.25</v>
          </cell>
          <cell r="BC210">
            <v>3807.5</v>
          </cell>
        </row>
        <row r="211">
          <cell r="D211">
            <v>72595.509999999995</v>
          </cell>
          <cell r="P211">
            <v>89418.070000000022</v>
          </cell>
          <cell r="AI211">
            <v>117426.46999999999</v>
          </cell>
          <cell r="AJ211">
            <v>5624.95</v>
          </cell>
          <cell r="AW211">
            <v>51702.590000000004</v>
          </cell>
          <cell r="AZ211">
            <v>14959.81</v>
          </cell>
          <cell r="BC211">
            <v>2310.52</v>
          </cell>
        </row>
        <row r="212">
          <cell r="D212">
            <v>69873.31</v>
          </cell>
          <cell r="P212">
            <v>90719.37</v>
          </cell>
          <cell r="AI212">
            <v>86537.439999999988</v>
          </cell>
          <cell r="AJ212">
            <v>4984.82</v>
          </cell>
          <cell r="AW212">
            <v>37623.949999999997</v>
          </cell>
          <cell r="AZ212">
            <v>17824.36</v>
          </cell>
          <cell r="BC212">
            <v>1391.8200000000002</v>
          </cell>
        </row>
        <row r="213">
          <cell r="D213">
            <v>86895.510000000009</v>
          </cell>
          <cell r="P213">
            <v>64192.14</v>
          </cell>
          <cell r="AI213">
            <v>72723.5</v>
          </cell>
          <cell r="AJ213">
            <v>9846.4599999999991</v>
          </cell>
          <cell r="AW213">
            <v>27376.86</v>
          </cell>
          <cell r="AZ213">
            <v>21440.83</v>
          </cell>
          <cell r="BC213">
            <v>5532.67</v>
          </cell>
        </row>
        <row r="214">
          <cell r="D214">
            <v>75299.09</v>
          </cell>
          <cell r="P214">
            <v>57562.75</v>
          </cell>
          <cell r="AI214">
            <v>84568.86</v>
          </cell>
          <cell r="AJ214">
            <v>8751.0299999999988</v>
          </cell>
          <cell r="AW214">
            <v>51571.1</v>
          </cell>
          <cell r="AZ214">
            <v>14816.099999999999</v>
          </cell>
          <cell r="BC214">
            <v>5387</v>
          </cell>
        </row>
        <row r="215">
          <cell r="D215">
            <v>75770.75</v>
          </cell>
          <cell r="P215">
            <v>68446.510000000009</v>
          </cell>
          <cell r="AI215">
            <v>112770.66</v>
          </cell>
          <cell r="AJ215">
            <v>6844.33</v>
          </cell>
          <cell r="AW215">
            <v>76847.55</v>
          </cell>
          <cell r="AZ215">
            <v>17319.830000000002</v>
          </cell>
          <cell r="BC215">
            <v>3971.25</v>
          </cell>
        </row>
        <row r="216">
          <cell r="D216">
            <v>77274.55</v>
          </cell>
          <cell r="P216">
            <v>49979.490000000005</v>
          </cell>
          <cell r="AI216">
            <v>57745.61</v>
          </cell>
          <cell r="AJ216">
            <v>4652.49</v>
          </cell>
          <cell r="AW216">
            <v>27738.9</v>
          </cell>
          <cell r="AZ216">
            <v>18477.849999999999</v>
          </cell>
          <cell r="BC216">
            <v>8680</v>
          </cell>
        </row>
        <row r="217">
          <cell r="D217">
            <v>71949.42</v>
          </cell>
          <cell r="P217">
            <v>44813.400000000009</v>
          </cell>
          <cell r="AI217">
            <v>69432.08</v>
          </cell>
          <cell r="AJ217">
            <v>4121</v>
          </cell>
          <cell r="AW217">
            <v>43040.4</v>
          </cell>
          <cell r="AZ217">
            <v>16513.75</v>
          </cell>
          <cell r="BC217">
            <v>3280</v>
          </cell>
        </row>
        <row r="218">
          <cell r="D218">
            <v>84844.700000000012</v>
          </cell>
          <cell r="P218">
            <v>49796.900000000009</v>
          </cell>
          <cell r="AI218">
            <v>63116.83</v>
          </cell>
          <cell r="AJ218">
            <v>3707.49</v>
          </cell>
          <cell r="AW218">
            <v>38258.800000000003</v>
          </cell>
          <cell r="AZ218">
            <v>14364.82</v>
          </cell>
          <cell r="BC218">
            <v>9270</v>
          </cell>
        </row>
        <row r="219">
          <cell r="D219">
            <v>162219.1</v>
          </cell>
          <cell r="P219">
            <v>102607.3</v>
          </cell>
          <cell r="AI219">
            <v>91465.4</v>
          </cell>
          <cell r="AJ219">
            <v>2927.6000000000004</v>
          </cell>
          <cell r="AW219">
            <v>47519.1</v>
          </cell>
          <cell r="AZ219">
            <v>29939.8</v>
          </cell>
          <cell r="BC219">
            <v>13463.3</v>
          </cell>
        </row>
        <row r="220">
          <cell r="D220">
            <v>166624.79999999999</v>
          </cell>
          <cell r="P220">
            <v>131783.09000000003</v>
          </cell>
          <cell r="AI220">
            <v>107708.6</v>
          </cell>
          <cell r="AJ220">
            <v>2414.6</v>
          </cell>
          <cell r="AW220">
            <v>59008.5</v>
          </cell>
          <cell r="AZ220">
            <v>30155.4</v>
          </cell>
          <cell r="BC220">
            <v>12335.8</v>
          </cell>
        </row>
        <row r="221">
          <cell r="D221">
            <v>189484</v>
          </cell>
          <cell r="P221">
            <v>137584.49</v>
          </cell>
          <cell r="AI221">
            <v>125837.9</v>
          </cell>
          <cell r="AJ221">
            <v>2807.5</v>
          </cell>
          <cell r="AW221">
            <v>91562.4</v>
          </cell>
          <cell r="AZ221">
            <v>20883.599999999999</v>
          </cell>
          <cell r="BC221">
            <v>12362.400000000001</v>
          </cell>
        </row>
        <row r="222">
          <cell r="D222">
            <v>154703.78</v>
          </cell>
          <cell r="P222">
            <v>133705.01</v>
          </cell>
          <cell r="AI222">
            <v>169468</v>
          </cell>
          <cell r="AJ222">
            <v>7105.2699999999995</v>
          </cell>
          <cell r="AW222">
            <v>118251.72</v>
          </cell>
          <cell r="AZ222">
            <v>18438.559999999998</v>
          </cell>
          <cell r="BC222">
            <v>6990</v>
          </cell>
        </row>
        <row r="223">
          <cell r="D223">
            <v>141262.38</v>
          </cell>
          <cell r="P223">
            <v>172536.18</v>
          </cell>
          <cell r="AI223">
            <v>210349.5</v>
          </cell>
          <cell r="AJ223">
            <v>5742.15</v>
          </cell>
          <cell r="AW223">
            <v>130214</v>
          </cell>
          <cell r="AZ223">
            <v>27174.949999999997</v>
          </cell>
          <cell r="BC223">
            <v>3620</v>
          </cell>
        </row>
        <row r="224">
          <cell r="D224">
            <v>98761.57</v>
          </cell>
          <cell r="P224">
            <v>164632.75</v>
          </cell>
          <cell r="AI224">
            <v>202153.84</v>
          </cell>
          <cell r="AJ224">
            <v>9597.7999999999993</v>
          </cell>
          <cell r="AW224">
            <v>101462</v>
          </cell>
          <cell r="AZ224">
            <v>27827.32</v>
          </cell>
          <cell r="BC224">
            <v>14344</v>
          </cell>
        </row>
        <row r="225">
          <cell r="D225">
            <v>163493.81</v>
          </cell>
          <cell r="P225">
            <v>183673.51</v>
          </cell>
          <cell r="AI225">
            <v>136636.59</v>
          </cell>
          <cell r="AJ225">
            <v>11219.880000000001</v>
          </cell>
          <cell r="AW225">
            <v>51205</v>
          </cell>
          <cell r="AZ225">
            <v>22067.57</v>
          </cell>
          <cell r="BC225">
            <v>8646</v>
          </cell>
        </row>
        <row r="226">
          <cell r="D226">
            <v>158434.47000000003</v>
          </cell>
          <cell r="P226">
            <v>158967.79999999999</v>
          </cell>
          <cell r="AI226">
            <v>99047.89</v>
          </cell>
          <cell r="AJ226">
            <v>11551.14</v>
          </cell>
          <cell r="AW226">
            <v>24659.7</v>
          </cell>
          <cell r="AZ226">
            <v>25397.440000000002</v>
          </cell>
          <cell r="BC226">
            <v>2270</v>
          </cell>
        </row>
        <row r="227">
          <cell r="D227">
            <v>160998.09</v>
          </cell>
          <cell r="P227">
            <v>127448.34</v>
          </cell>
          <cell r="AI227">
            <v>143266.78999999998</v>
          </cell>
          <cell r="AJ227">
            <v>8963.5499999999993</v>
          </cell>
          <cell r="AW227">
            <v>63259.75</v>
          </cell>
          <cell r="AZ227">
            <v>26665.919999999998</v>
          </cell>
          <cell r="BC227">
            <v>9298</v>
          </cell>
        </row>
        <row r="228">
          <cell r="D228">
            <v>168042.77</v>
          </cell>
          <cell r="P228">
            <v>48986.389999999992</v>
          </cell>
          <cell r="AI228">
            <v>77505.95</v>
          </cell>
          <cell r="AJ228">
            <v>6484.58</v>
          </cell>
          <cell r="AW228">
            <v>46936.800000000003</v>
          </cell>
          <cell r="AZ228">
            <v>13727.92</v>
          </cell>
          <cell r="BC228">
            <v>5044</v>
          </cell>
        </row>
        <row r="229">
          <cell r="D229">
            <v>178364.2</v>
          </cell>
          <cell r="P229">
            <v>63119.64</v>
          </cell>
          <cell r="AI229">
            <v>60698.48</v>
          </cell>
          <cell r="AJ229">
            <v>5707.98</v>
          </cell>
          <cell r="AW229">
            <v>32032</v>
          </cell>
          <cell r="AZ229">
            <v>12275.02</v>
          </cell>
          <cell r="BC229">
            <v>2702</v>
          </cell>
        </row>
        <row r="230">
          <cell r="D230">
            <v>228679.24999999997</v>
          </cell>
          <cell r="P230">
            <v>66411.19</v>
          </cell>
          <cell r="AI230">
            <v>57691.539999999994</v>
          </cell>
          <cell r="AJ230">
            <v>5985.0999999999995</v>
          </cell>
          <cell r="AW230">
            <v>25594.3</v>
          </cell>
          <cell r="AZ230">
            <v>17206.3</v>
          </cell>
          <cell r="BC230">
            <v>2270.42</v>
          </cell>
        </row>
        <row r="231">
          <cell r="D231">
            <v>129822.81</v>
          </cell>
          <cell r="P231">
            <v>52741.45</v>
          </cell>
          <cell r="AI231">
            <v>70085.53</v>
          </cell>
          <cell r="AJ231">
            <v>3654.55</v>
          </cell>
          <cell r="AW231">
            <v>46121.1</v>
          </cell>
          <cell r="AZ231">
            <v>17912</v>
          </cell>
          <cell r="BC231">
            <v>2498</v>
          </cell>
        </row>
        <row r="232">
          <cell r="D232">
            <v>141602.4</v>
          </cell>
          <cell r="P232">
            <v>38204.550000000003</v>
          </cell>
          <cell r="AI232">
            <v>75195.8</v>
          </cell>
          <cell r="AJ232">
            <v>3843.08</v>
          </cell>
          <cell r="AW232">
            <v>51209.599999999999</v>
          </cell>
          <cell r="AZ232">
            <v>17766.37</v>
          </cell>
          <cell r="BC232">
            <v>1708</v>
          </cell>
        </row>
        <row r="233">
          <cell r="D233">
            <v>165695.83999999997</v>
          </cell>
          <cell r="P233">
            <v>52332.38</v>
          </cell>
          <cell r="AI233">
            <v>53615.87</v>
          </cell>
          <cell r="AJ233">
            <v>3943.15</v>
          </cell>
          <cell r="AW233">
            <v>36109.5</v>
          </cell>
          <cell r="AZ233">
            <v>9623.32</v>
          </cell>
          <cell r="BC233">
            <v>546</v>
          </cell>
        </row>
        <row r="234">
          <cell r="D234">
            <v>85463.61</v>
          </cell>
          <cell r="P234">
            <v>27579.289999999997</v>
          </cell>
          <cell r="AI234">
            <v>104907.41</v>
          </cell>
          <cell r="AJ234">
            <v>2588.04</v>
          </cell>
          <cell r="AW234">
            <v>81045.5</v>
          </cell>
          <cell r="AZ234">
            <v>12784.93</v>
          </cell>
          <cell r="BC234">
            <v>3792</v>
          </cell>
        </row>
        <row r="235">
          <cell r="D235">
            <v>70156.5</v>
          </cell>
          <cell r="P235">
            <v>28128.620000000003</v>
          </cell>
          <cell r="AI235">
            <v>106980.87000000001</v>
          </cell>
          <cell r="AJ235">
            <v>2306.6</v>
          </cell>
          <cell r="AW235">
            <v>76773.3</v>
          </cell>
          <cell r="AZ235">
            <v>10780.68</v>
          </cell>
          <cell r="BC235">
            <v>2065.96</v>
          </cell>
        </row>
        <row r="236">
          <cell r="D236">
            <v>77628.989999999991</v>
          </cell>
          <cell r="P236">
            <v>33330.089999999997</v>
          </cell>
          <cell r="AI236">
            <v>125591.74000000002</v>
          </cell>
          <cell r="AJ236">
            <v>4524.32</v>
          </cell>
          <cell r="AW236">
            <v>88594.8</v>
          </cell>
          <cell r="AZ236">
            <v>10423.700000000001</v>
          </cell>
          <cell r="BC236">
            <v>2210</v>
          </cell>
        </row>
        <row r="237">
          <cell r="D237">
            <v>135773.56</v>
          </cell>
          <cell r="P237">
            <v>119828.15</v>
          </cell>
          <cell r="AI237">
            <v>95701.300000000017</v>
          </cell>
          <cell r="AJ237">
            <v>15281.330000000002</v>
          </cell>
          <cell r="AW237">
            <v>41091.15</v>
          </cell>
          <cell r="AZ237">
            <v>20286.63</v>
          </cell>
          <cell r="BC237">
            <v>5276</v>
          </cell>
        </row>
        <row r="238">
          <cell r="D238">
            <v>146372.20000000001</v>
          </cell>
          <cell r="P238">
            <v>122192.07</v>
          </cell>
          <cell r="AI238">
            <v>81612.06</v>
          </cell>
          <cell r="AJ238">
            <v>14490.17</v>
          </cell>
          <cell r="AW238">
            <v>28458</v>
          </cell>
          <cell r="AZ238">
            <v>21178.49</v>
          </cell>
          <cell r="BC238">
            <v>7068</v>
          </cell>
        </row>
        <row r="239">
          <cell r="D239">
            <v>138834.83000000002</v>
          </cell>
          <cell r="P239">
            <v>90785.75</v>
          </cell>
          <cell r="AI239">
            <v>94257.26999999999</v>
          </cell>
          <cell r="AJ239">
            <v>10965.150000000001</v>
          </cell>
          <cell r="AW239">
            <v>43654.59</v>
          </cell>
          <cell r="AZ239">
            <v>21165.559999999998</v>
          </cell>
          <cell r="BC239">
            <v>4338</v>
          </cell>
        </row>
        <row r="240">
          <cell r="D240">
            <v>177879.5</v>
          </cell>
          <cell r="P240">
            <v>53707.23</v>
          </cell>
          <cell r="AI240">
            <v>104687.3</v>
          </cell>
          <cell r="AJ240">
            <v>14397.94</v>
          </cell>
          <cell r="AW240">
            <v>49500</v>
          </cell>
          <cell r="AZ240">
            <v>19143.379999999997</v>
          </cell>
          <cell r="BC240">
            <v>6846</v>
          </cell>
        </row>
        <row r="241">
          <cell r="D241">
            <v>195712.34000000003</v>
          </cell>
          <cell r="P241">
            <v>75746.34</v>
          </cell>
          <cell r="AI241">
            <v>117300.63</v>
          </cell>
          <cell r="AJ241">
            <v>14383.03</v>
          </cell>
          <cell r="AW241">
            <v>62471.429999999993</v>
          </cell>
          <cell r="AZ241">
            <v>21970.82</v>
          </cell>
          <cell r="BC241">
            <v>4006</v>
          </cell>
        </row>
        <row r="242">
          <cell r="D242">
            <v>264505.95999999996</v>
          </cell>
          <cell r="P242">
            <v>65487.61</v>
          </cell>
          <cell r="AI242">
            <v>115339.45999999999</v>
          </cell>
          <cell r="AJ242">
            <v>12144.21</v>
          </cell>
          <cell r="AW242">
            <v>59611.83</v>
          </cell>
          <cell r="AZ242">
            <v>24837.439999999999</v>
          </cell>
          <cell r="BC242">
            <v>4658</v>
          </cell>
        </row>
        <row r="243">
          <cell r="D243">
            <v>216345.30000000002</v>
          </cell>
          <cell r="P243">
            <v>70615.13</v>
          </cell>
          <cell r="AI243">
            <v>135711.63</v>
          </cell>
          <cell r="AJ243">
            <v>10300.470000000001</v>
          </cell>
          <cell r="AW243">
            <v>81690.5</v>
          </cell>
          <cell r="AZ243">
            <v>33748.910000000003</v>
          </cell>
          <cell r="BC243">
            <v>1224.75</v>
          </cell>
        </row>
        <row r="244">
          <cell r="D244">
            <v>193066.5</v>
          </cell>
          <cell r="P244">
            <v>61109.780000000006</v>
          </cell>
          <cell r="AI244">
            <v>122973.48</v>
          </cell>
          <cell r="AJ244">
            <v>10090.799999999999</v>
          </cell>
          <cell r="AW244">
            <v>80134.41</v>
          </cell>
          <cell r="AZ244">
            <v>18749.02</v>
          </cell>
          <cell r="BC244">
            <v>1584</v>
          </cell>
        </row>
        <row r="245">
          <cell r="D245">
            <v>225020.44</v>
          </cell>
          <cell r="P245">
            <v>67829.320000000007</v>
          </cell>
          <cell r="AI245">
            <v>89200.42</v>
          </cell>
          <cell r="AJ245">
            <v>6660.91</v>
          </cell>
          <cell r="AW245">
            <v>54480.25</v>
          </cell>
          <cell r="AZ245">
            <v>14999.51</v>
          </cell>
          <cell r="BC245">
            <v>1478</v>
          </cell>
        </row>
        <row r="246">
          <cell r="D246">
            <v>127002.47</v>
          </cell>
          <cell r="P246">
            <v>68640.179999999993</v>
          </cell>
          <cell r="AI246">
            <v>151797.81</v>
          </cell>
          <cell r="AJ246">
            <v>7196.4400000000005</v>
          </cell>
          <cell r="AW246">
            <v>119446.69</v>
          </cell>
          <cell r="AZ246">
            <v>10049.369999999999</v>
          </cell>
          <cell r="BC246">
            <v>682</v>
          </cell>
        </row>
        <row r="247">
          <cell r="D247">
            <v>168837.67</v>
          </cell>
          <cell r="P247">
            <v>74110.81</v>
          </cell>
          <cell r="AI247">
            <v>215896.59999999998</v>
          </cell>
          <cell r="AJ247">
            <v>9223.7400000000016</v>
          </cell>
          <cell r="AW247">
            <v>148673.94</v>
          </cell>
          <cell r="AZ247">
            <v>13275.86</v>
          </cell>
          <cell r="BC247">
            <v>3236</v>
          </cell>
        </row>
        <row r="248">
          <cell r="D248">
            <v>168817.39</v>
          </cell>
          <cell r="P248">
            <v>44437.64</v>
          </cell>
          <cell r="AI248">
            <v>170100.34</v>
          </cell>
          <cell r="AJ248">
            <v>6331.63</v>
          </cell>
          <cell r="AW248">
            <v>120961.5</v>
          </cell>
          <cell r="AZ248">
            <v>9193.32</v>
          </cell>
          <cell r="BC248">
            <v>1940</v>
          </cell>
        </row>
        <row r="249">
          <cell r="D249">
            <v>139308.79999999999</v>
          </cell>
          <cell r="P249">
            <v>38421.299999999996</v>
          </cell>
          <cell r="AI249">
            <v>122494.87000000001</v>
          </cell>
          <cell r="AJ249">
            <v>9879.85</v>
          </cell>
          <cell r="AW249">
            <v>71376</v>
          </cell>
          <cell r="AZ249">
            <v>10100.51</v>
          </cell>
          <cell r="BC249">
            <v>3140</v>
          </cell>
        </row>
        <row r="250">
          <cell r="D250">
            <v>157019.64000000001</v>
          </cell>
          <cell r="P250">
            <v>38531.409999999996</v>
          </cell>
          <cell r="AI250">
            <v>137660.86000000002</v>
          </cell>
          <cell r="AJ250">
            <v>17717.45</v>
          </cell>
          <cell r="AW250">
            <v>79512.570000000007</v>
          </cell>
          <cell r="AZ250">
            <v>15584.67</v>
          </cell>
          <cell r="BC250">
            <v>2738</v>
          </cell>
        </row>
        <row r="251">
          <cell r="D251">
            <v>141745.91</v>
          </cell>
          <cell r="P251">
            <v>45132.399999999994</v>
          </cell>
          <cell r="AI251">
            <v>119656.89</v>
          </cell>
          <cell r="AJ251">
            <v>22038.14</v>
          </cell>
          <cell r="AW251">
            <v>57157.41</v>
          </cell>
          <cell r="AZ251">
            <v>18923.530000000002</v>
          </cell>
          <cell r="BC251">
            <v>1940</v>
          </cell>
        </row>
        <row r="252">
          <cell r="D252">
            <v>196988.96000000002</v>
          </cell>
          <cell r="P252">
            <v>46303.6</v>
          </cell>
          <cell r="AI252">
            <v>136408.28</v>
          </cell>
          <cell r="AJ252">
            <v>19680.019999999997</v>
          </cell>
          <cell r="AW252">
            <v>71259.75</v>
          </cell>
          <cell r="AZ252">
            <v>21670.78</v>
          </cell>
          <cell r="BC252">
            <v>3412</v>
          </cell>
        </row>
        <row r="253">
          <cell r="D253">
            <v>236033.35</v>
          </cell>
          <cell r="P253">
            <v>62929.22</v>
          </cell>
          <cell r="AI253">
            <v>182947.49</v>
          </cell>
          <cell r="AJ253">
            <v>15100.760000000002</v>
          </cell>
          <cell r="AW253">
            <v>118882.81</v>
          </cell>
          <cell r="AZ253">
            <v>23361.09</v>
          </cell>
          <cell r="BC253">
            <v>4116</v>
          </cell>
        </row>
        <row r="254">
          <cell r="D254">
            <v>254326.32</v>
          </cell>
          <cell r="P254">
            <v>58927.97</v>
          </cell>
          <cell r="AI254">
            <v>134659.85</v>
          </cell>
          <cell r="AJ254">
            <v>14017.35</v>
          </cell>
          <cell r="AW254">
            <v>72801.56</v>
          </cell>
          <cell r="AZ254">
            <v>26852.5</v>
          </cell>
          <cell r="BC254">
            <v>5394</v>
          </cell>
        </row>
        <row r="255">
          <cell r="D255">
            <v>225268.2</v>
          </cell>
          <cell r="P255">
            <v>62925.61</v>
          </cell>
          <cell r="AI255">
            <v>115923.40000000001</v>
          </cell>
          <cell r="AJ255">
            <v>11052.95</v>
          </cell>
          <cell r="AW255">
            <v>70340.63</v>
          </cell>
          <cell r="AZ255">
            <v>21156.880000000001</v>
          </cell>
          <cell r="BC255">
            <v>3160</v>
          </cell>
        </row>
        <row r="256">
          <cell r="D256">
            <v>218705.54</v>
          </cell>
          <cell r="P256">
            <v>60355.7</v>
          </cell>
          <cell r="AI256">
            <v>77032.37000000001</v>
          </cell>
          <cell r="AJ256">
            <v>9952.6</v>
          </cell>
          <cell r="AW256">
            <v>35039.25</v>
          </cell>
          <cell r="AZ256">
            <v>22270.080000000002</v>
          </cell>
          <cell r="BC256">
            <v>2462</v>
          </cell>
        </row>
        <row r="257">
          <cell r="D257">
            <v>244976.82</v>
          </cell>
          <cell r="P257">
            <v>64141.210000000006</v>
          </cell>
          <cell r="AI257">
            <v>147311.93</v>
          </cell>
          <cell r="AJ257">
            <v>11281.11</v>
          </cell>
          <cell r="AW257">
            <v>101330.94</v>
          </cell>
          <cell r="AZ257">
            <v>24242.54</v>
          </cell>
          <cell r="BC257">
            <v>4642</v>
          </cell>
        </row>
        <row r="258">
          <cell r="D258">
            <v>139061.44</v>
          </cell>
          <cell r="P258">
            <v>72718.62</v>
          </cell>
          <cell r="AI258">
            <v>152422.66</v>
          </cell>
          <cell r="AJ258">
            <v>8209.16</v>
          </cell>
          <cell r="AW258">
            <v>77776.31</v>
          </cell>
          <cell r="AZ258">
            <v>17631.25</v>
          </cell>
          <cell r="BC258">
            <v>3964</v>
          </cell>
        </row>
        <row r="259">
          <cell r="D259">
            <v>164324.25</v>
          </cell>
          <cell r="P259">
            <v>70744.490000000005</v>
          </cell>
          <cell r="AI259">
            <v>152133.29</v>
          </cell>
          <cell r="AJ259">
            <v>11873.85</v>
          </cell>
          <cell r="AW259">
            <v>96391.83</v>
          </cell>
          <cell r="AZ259">
            <v>18507.289999999997</v>
          </cell>
          <cell r="BC259">
            <v>3204</v>
          </cell>
        </row>
        <row r="260">
          <cell r="D260">
            <v>140953.87</v>
          </cell>
          <cell r="P260">
            <v>45154.78</v>
          </cell>
          <cell r="AI260">
            <v>193120.31</v>
          </cell>
          <cell r="AJ260">
            <v>6667.07</v>
          </cell>
          <cell r="AW260">
            <v>151768.75</v>
          </cell>
          <cell r="AZ260">
            <v>10395.44</v>
          </cell>
          <cell r="BC260">
            <v>2857.08</v>
          </cell>
        </row>
        <row r="261">
          <cell r="D261">
            <v>164106.91999999998</v>
          </cell>
          <cell r="P261">
            <v>65107.880000000005</v>
          </cell>
          <cell r="AI261">
            <v>175847.02000000002</v>
          </cell>
          <cell r="AJ261">
            <v>18930.740000000002</v>
          </cell>
          <cell r="AW261">
            <v>103432.5</v>
          </cell>
          <cell r="AZ261">
            <v>21371.88</v>
          </cell>
          <cell r="BC261">
            <v>3179.5</v>
          </cell>
        </row>
        <row r="262">
          <cell r="D262">
            <v>87829.88</v>
          </cell>
          <cell r="P262">
            <v>49169.72</v>
          </cell>
          <cell r="AI262">
            <v>74842.13</v>
          </cell>
          <cell r="AJ262">
            <v>15764.73</v>
          </cell>
          <cell r="AW262">
            <v>35871.880000000005</v>
          </cell>
          <cell r="AZ262">
            <v>9049.06</v>
          </cell>
          <cell r="BC262">
            <v>2925</v>
          </cell>
        </row>
        <row r="263">
          <cell r="D263">
            <v>97945.62</v>
          </cell>
          <cell r="P263">
            <v>48604.11</v>
          </cell>
          <cell r="AI263">
            <v>216487.41</v>
          </cell>
          <cell r="AJ263">
            <v>14540.7</v>
          </cell>
          <cell r="AW263">
            <v>169056</v>
          </cell>
          <cell r="AZ263">
            <v>11717.439999999999</v>
          </cell>
          <cell r="BC263">
            <v>1947</v>
          </cell>
        </row>
        <row r="264">
          <cell r="D264">
            <v>137369.53</v>
          </cell>
          <cell r="P264">
            <v>48002.970000000008</v>
          </cell>
          <cell r="AI264">
            <v>182279.24000000002</v>
          </cell>
          <cell r="AJ264">
            <v>13033.76</v>
          </cell>
          <cell r="AW264">
            <v>131984.85</v>
          </cell>
          <cell r="AZ264">
            <v>15446.17</v>
          </cell>
          <cell r="BC264">
            <v>5581.9699999999993</v>
          </cell>
        </row>
        <row r="265">
          <cell r="D265">
            <v>256613.41999999998</v>
          </cell>
          <cell r="P265">
            <v>89056.33</v>
          </cell>
          <cell r="AI265">
            <v>235494.53</v>
          </cell>
          <cell r="AJ265">
            <v>18941.27</v>
          </cell>
          <cell r="AW265">
            <v>162814.85</v>
          </cell>
          <cell r="AZ265">
            <v>26809.9</v>
          </cell>
          <cell r="BC265">
            <v>3769.5</v>
          </cell>
        </row>
        <row r="266">
          <cell r="D266">
            <v>234706.33000000002</v>
          </cell>
          <cell r="P266">
            <v>66266.260000000009</v>
          </cell>
          <cell r="AI266">
            <v>106036.04</v>
          </cell>
          <cell r="AJ266">
            <v>17072.77</v>
          </cell>
          <cell r="AW266">
            <v>50143.67</v>
          </cell>
          <cell r="AZ266">
            <v>18193.75</v>
          </cell>
          <cell r="BC266">
            <v>4338.72</v>
          </cell>
        </row>
        <row r="267">
          <cell r="D267">
            <v>179831.32</v>
          </cell>
          <cell r="P267">
            <v>70508.51999999999</v>
          </cell>
          <cell r="AI267">
            <v>78233.459999999992</v>
          </cell>
          <cell r="AJ267">
            <v>9925.6</v>
          </cell>
          <cell r="AW267">
            <v>33490.799999999996</v>
          </cell>
          <cell r="AZ267">
            <v>14679.630000000001</v>
          </cell>
          <cell r="BC267">
            <v>4799.88</v>
          </cell>
        </row>
        <row r="268">
          <cell r="D268">
            <v>228639.90000000002</v>
          </cell>
          <cell r="P268">
            <v>92402.4</v>
          </cell>
          <cell r="AI268">
            <v>163364.81</v>
          </cell>
          <cell r="AJ268">
            <v>15722.849999999999</v>
          </cell>
          <cell r="AW268">
            <v>98795.36</v>
          </cell>
          <cell r="AZ268">
            <v>20414.82</v>
          </cell>
          <cell r="BC268">
            <v>3239.75</v>
          </cell>
        </row>
        <row r="269">
          <cell r="D269">
            <v>208436.18</v>
          </cell>
          <cell r="P269">
            <v>74900.37</v>
          </cell>
          <cell r="AI269">
            <v>158146.66</v>
          </cell>
          <cell r="AJ269">
            <v>7444.9800000000005</v>
          </cell>
          <cell r="AW269">
            <v>115158.73999999999</v>
          </cell>
          <cell r="AZ269">
            <v>14739.42</v>
          </cell>
          <cell r="BC269">
            <v>3413.75</v>
          </cell>
        </row>
        <row r="270">
          <cell r="D270">
            <v>147225.38999999998</v>
          </cell>
          <cell r="P270">
            <v>91644.18</v>
          </cell>
          <cell r="AI270">
            <v>101963.22</v>
          </cell>
          <cell r="AJ270">
            <v>12052.6</v>
          </cell>
          <cell r="AW270">
            <v>59904</v>
          </cell>
          <cell r="AZ270">
            <v>12049.319999999998</v>
          </cell>
          <cell r="BC270">
            <v>5692</v>
          </cell>
        </row>
        <row r="271">
          <cell r="D271">
            <v>147018.87</v>
          </cell>
          <cell r="P271">
            <v>72335.94</v>
          </cell>
          <cell r="AI271">
            <v>133557.59</v>
          </cell>
          <cell r="AJ271">
            <v>13909.7</v>
          </cell>
          <cell r="AW271">
            <v>76245</v>
          </cell>
          <cell r="AZ271">
            <v>13705.34</v>
          </cell>
          <cell r="BC271">
            <v>4914</v>
          </cell>
        </row>
        <row r="272">
          <cell r="D272">
            <v>157838.03</v>
          </cell>
          <cell r="P272">
            <v>61620.880000000005</v>
          </cell>
          <cell r="AI272">
            <v>134147.34</v>
          </cell>
          <cell r="AJ272">
            <v>14019.68</v>
          </cell>
          <cell r="AW272">
            <v>79600.63</v>
          </cell>
          <cell r="AZ272">
            <v>7210.6900000000005</v>
          </cell>
          <cell r="BC272">
            <v>5034</v>
          </cell>
        </row>
        <row r="273">
          <cell r="D273">
            <v>219860.76</v>
          </cell>
          <cell r="P273">
            <v>72383.710000000006</v>
          </cell>
          <cell r="AI273">
            <v>153997.85999999999</v>
          </cell>
          <cell r="AJ273">
            <v>20371.669999999998</v>
          </cell>
          <cell r="AW273">
            <v>79058.13</v>
          </cell>
          <cell r="AZ273">
            <v>23113.17</v>
          </cell>
          <cell r="BC273">
            <v>7192</v>
          </cell>
        </row>
        <row r="274">
          <cell r="D274">
            <v>167491.87</v>
          </cell>
          <cell r="P274">
            <v>51674.33</v>
          </cell>
          <cell r="AI274">
            <v>95827.900000000009</v>
          </cell>
          <cell r="AJ274">
            <v>16414.439999999999</v>
          </cell>
          <cell r="AW274">
            <v>40280.19</v>
          </cell>
          <cell r="AZ274">
            <v>15594.760000000002</v>
          </cell>
          <cell r="BC274">
            <v>7390</v>
          </cell>
        </row>
        <row r="275">
          <cell r="D275">
            <v>174527.92</v>
          </cell>
          <cell r="P275">
            <v>60866.44</v>
          </cell>
          <cell r="AI275">
            <v>112812.83000000002</v>
          </cell>
          <cell r="AJ275">
            <v>12599.119999999999</v>
          </cell>
          <cell r="AW275">
            <v>58004.85</v>
          </cell>
          <cell r="AZ275">
            <v>18550.080000000002</v>
          </cell>
          <cell r="BC275">
            <v>5178</v>
          </cell>
        </row>
        <row r="276">
          <cell r="D276">
            <v>159107.25</v>
          </cell>
          <cell r="P276">
            <v>65277.25</v>
          </cell>
          <cell r="AI276">
            <v>147549.9</v>
          </cell>
          <cell r="AJ276">
            <v>9587.59</v>
          </cell>
          <cell r="AW276">
            <v>84463.65</v>
          </cell>
          <cell r="AZ276">
            <v>32478.81</v>
          </cell>
          <cell r="BC276">
            <v>5538</v>
          </cell>
        </row>
        <row r="277">
          <cell r="D277">
            <v>170530.7</v>
          </cell>
          <cell r="P277">
            <v>55719.72</v>
          </cell>
          <cell r="AI277">
            <v>95113.61</v>
          </cell>
          <cell r="AJ277">
            <v>5787.3099999999995</v>
          </cell>
          <cell r="AW277">
            <v>64246</v>
          </cell>
          <cell r="AZ277">
            <v>7813.59</v>
          </cell>
          <cell r="BC277">
            <v>5478</v>
          </cell>
        </row>
        <row r="278">
          <cell r="D278">
            <v>289079.52</v>
          </cell>
          <cell r="P278">
            <v>69902.510000000009</v>
          </cell>
          <cell r="AI278">
            <v>136129.78</v>
          </cell>
          <cell r="AJ278">
            <v>7401.96</v>
          </cell>
          <cell r="AW278">
            <v>107063.76000000001</v>
          </cell>
          <cell r="AZ278">
            <v>11294.06</v>
          </cell>
          <cell r="BC278">
            <v>4986</v>
          </cell>
        </row>
        <row r="279">
          <cell r="D279">
            <v>258889.07</v>
          </cell>
          <cell r="P279">
            <v>116147.63</v>
          </cell>
          <cell r="AI279">
            <v>99644.03</v>
          </cell>
          <cell r="AJ279">
            <v>16543.919999999998</v>
          </cell>
          <cell r="AW279">
            <v>56187.47</v>
          </cell>
          <cell r="AZ279">
            <v>10776.380000000001</v>
          </cell>
          <cell r="BC279">
            <v>5871.09</v>
          </cell>
        </row>
        <row r="280">
          <cell r="D280">
            <v>274379.23</v>
          </cell>
          <cell r="P280">
            <v>104849.88</v>
          </cell>
          <cell r="AI280">
            <v>100310.81</v>
          </cell>
          <cell r="AJ280">
            <v>13238.289999999999</v>
          </cell>
          <cell r="AW280">
            <v>65005.88</v>
          </cell>
          <cell r="AZ280">
            <v>7028.5700000000006</v>
          </cell>
          <cell r="BC280">
            <v>7204</v>
          </cell>
        </row>
        <row r="281">
          <cell r="D281">
            <v>280830.99</v>
          </cell>
          <cell r="P281">
            <v>101945.26000000001</v>
          </cell>
          <cell r="AI281">
            <v>84727.56</v>
          </cell>
          <cell r="AJ281">
            <v>13391.42</v>
          </cell>
          <cell r="AW281">
            <v>43332.350000000006</v>
          </cell>
          <cell r="AZ281">
            <v>11416.75</v>
          </cell>
          <cell r="BC281">
            <v>5014</v>
          </cell>
        </row>
        <row r="282">
          <cell r="D282">
            <v>187595</v>
          </cell>
          <cell r="P282">
            <v>80014.600000000006</v>
          </cell>
          <cell r="AI282">
            <v>95782.6</v>
          </cell>
          <cell r="AJ282">
            <v>7656.4400000000005</v>
          </cell>
          <cell r="AW282">
            <v>52066.5</v>
          </cell>
          <cell r="AZ282">
            <v>12209.760000000002</v>
          </cell>
          <cell r="BC282">
            <v>3588</v>
          </cell>
        </row>
        <row r="283">
          <cell r="D283">
            <v>193995.63</v>
          </cell>
          <cell r="P283">
            <v>86813.65</v>
          </cell>
          <cell r="AI283">
            <v>136859.99</v>
          </cell>
          <cell r="AJ283">
            <v>13313.449999999999</v>
          </cell>
          <cell r="AW283">
            <v>62197.75</v>
          </cell>
          <cell r="AZ283">
            <v>21490.25</v>
          </cell>
          <cell r="BC283">
            <v>7124</v>
          </cell>
        </row>
        <row r="284">
          <cell r="D284">
            <v>306713.51</v>
          </cell>
          <cell r="P284">
            <v>104755.28</v>
          </cell>
          <cell r="AI284">
            <v>366156.80000000005</v>
          </cell>
          <cell r="AJ284">
            <v>17701.379999999997</v>
          </cell>
          <cell r="AW284">
            <v>212988.75</v>
          </cell>
          <cell r="AZ284">
            <v>21617.31</v>
          </cell>
          <cell r="BC284">
            <v>22860.809999999998</v>
          </cell>
        </row>
        <row r="285">
          <cell r="D285">
            <v>186273.89</v>
          </cell>
          <cell r="P285">
            <v>66674.39</v>
          </cell>
          <cell r="AI285">
            <v>242364.30000000002</v>
          </cell>
          <cell r="AJ285">
            <v>24193.710000000003</v>
          </cell>
          <cell r="AW285">
            <v>161247.82999999999</v>
          </cell>
          <cell r="AZ285">
            <v>24436.81</v>
          </cell>
          <cell r="BC285">
            <v>5080.75</v>
          </cell>
        </row>
        <row r="286">
          <cell r="D286">
            <v>173452.64</v>
          </cell>
          <cell r="P286">
            <v>62599.049999999996</v>
          </cell>
          <cell r="AI286">
            <v>143093.1</v>
          </cell>
          <cell r="AJ286">
            <v>27283.260000000002</v>
          </cell>
          <cell r="AW286">
            <v>62855.85</v>
          </cell>
          <cell r="AZ286">
            <v>24556.14</v>
          </cell>
          <cell r="BC286">
            <v>3724</v>
          </cell>
        </row>
        <row r="287">
          <cell r="D287">
            <v>123294.88</v>
          </cell>
          <cell r="P287">
            <v>50950.630000000005</v>
          </cell>
          <cell r="AI287">
            <v>150166.77000000002</v>
          </cell>
          <cell r="AJ287">
            <v>14756.5</v>
          </cell>
          <cell r="AW287">
            <v>91565.75</v>
          </cell>
          <cell r="AZ287">
            <v>26614.13</v>
          </cell>
          <cell r="BC287">
            <v>3261</v>
          </cell>
        </row>
        <row r="288">
          <cell r="D288">
            <v>236371.73</v>
          </cell>
          <cell r="P288">
            <v>107024.63</v>
          </cell>
          <cell r="AI288">
            <v>207857.03999999998</v>
          </cell>
          <cell r="AJ288">
            <v>17924.870000000003</v>
          </cell>
          <cell r="AW288">
            <v>135602.22</v>
          </cell>
          <cell r="AZ288">
            <v>20668.169999999998</v>
          </cell>
          <cell r="BC288">
            <v>7272</v>
          </cell>
        </row>
        <row r="289">
          <cell r="D289">
            <v>249927.24</v>
          </cell>
          <cell r="P289">
            <v>113650.56</v>
          </cell>
          <cell r="AI289">
            <v>176367.11</v>
          </cell>
          <cell r="AJ289">
            <v>20879.439999999995</v>
          </cell>
          <cell r="AW289">
            <v>114917.88</v>
          </cell>
          <cell r="AZ289">
            <v>22015.410000000003</v>
          </cell>
          <cell r="BC289">
            <v>12129.75</v>
          </cell>
        </row>
        <row r="290">
          <cell r="D290">
            <v>238203.62</v>
          </cell>
          <cell r="P290">
            <v>130392.94</v>
          </cell>
          <cell r="AI290">
            <v>142946.16</v>
          </cell>
          <cell r="AJ290">
            <v>23077.39</v>
          </cell>
          <cell r="AW290">
            <v>78744.31</v>
          </cell>
          <cell r="AZ290">
            <v>21904.43</v>
          </cell>
          <cell r="BC290">
            <v>11429</v>
          </cell>
        </row>
        <row r="291">
          <cell r="D291">
            <v>287267.41000000003</v>
          </cell>
          <cell r="P291">
            <v>148091.48000000001</v>
          </cell>
          <cell r="AI291">
            <v>182897.69</v>
          </cell>
          <cell r="AJ291">
            <v>24353.98</v>
          </cell>
          <cell r="AW291">
            <v>114138.56</v>
          </cell>
          <cell r="AZ291">
            <v>13380.91</v>
          </cell>
          <cell r="BC291">
            <v>8658</v>
          </cell>
        </row>
        <row r="292">
          <cell r="D292">
            <v>366505.98</v>
          </cell>
          <cell r="P292">
            <v>157618.22</v>
          </cell>
          <cell r="AI292">
            <v>235584.59000000003</v>
          </cell>
          <cell r="AJ292">
            <v>28414.320000000003</v>
          </cell>
          <cell r="AW292">
            <v>153366.06</v>
          </cell>
          <cell r="AZ292">
            <v>19166.599999999999</v>
          </cell>
          <cell r="BC292">
            <v>13700</v>
          </cell>
        </row>
        <row r="293">
          <cell r="D293">
            <v>310805.46000000002</v>
          </cell>
          <cell r="P293">
            <v>165611.35</v>
          </cell>
          <cell r="AI293">
            <v>360949.17000000004</v>
          </cell>
          <cell r="AJ293">
            <v>27067.57</v>
          </cell>
          <cell r="AW293">
            <v>240702.25</v>
          </cell>
          <cell r="AZ293">
            <v>39183.67</v>
          </cell>
          <cell r="BC293">
            <v>10614</v>
          </cell>
        </row>
        <row r="294">
          <cell r="D294">
            <v>217449.38</v>
          </cell>
          <cell r="P294">
            <v>103151.97</v>
          </cell>
          <cell r="AI294">
            <v>362502.74</v>
          </cell>
          <cell r="AJ294">
            <v>22320.75</v>
          </cell>
          <cell r="AW294">
            <v>270851.63</v>
          </cell>
          <cell r="AZ294">
            <v>22163.879999999997</v>
          </cell>
          <cell r="BC294">
            <v>6836</v>
          </cell>
        </row>
        <row r="295">
          <cell r="D295">
            <v>343768.13</v>
          </cell>
          <cell r="P295">
            <v>142103.13</v>
          </cell>
          <cell r="AI295">
            <v>680530.76</v>
          </cell>
          <cell r="AJ295">
            <v>39121</v>
          </cell>
          <cell r="AW295">
            <v>476103.38</v>
          </cell>
          <cell r="AZ295">
            <v>97497.5</v>
          </cell>
          <cell r="BC295">
            <v>9420</v>
          </cell>
        </row>
        <row r="296">
          <cell r="D296">
            <v>476256.87</v>
          </cell>
          <cell r="P296">
            <v>162327.58000000002</v>
          </cell>
          <cell r="AI296">
            <v>703519.6</v>
          </cell>
          <cell r="AJ296">
            <v>39879.75</v>
          </cell>
          <cell r="AW296">
            <v>571588.88</v>
          </cell>
          <cell r="AZ296">
            <v>37777.879999999997</v>
          </cell>
          <cell r="BC296">
            <v>15780</v>
          </cell>
        </row>
        <row r="297">
          <cell r="D297">
            <v>213113.05000000002</v>
          </cell>
          <cell r="P297">
            <v>84359.21</v>
          </cell>
          <cell r="AI297">
            <v>241292.68000000002</v>
          </cell>
          <cell r="AJ297">
            <v>31543.090000000004</v>
          </cell>
          <cell r="AW297">
            <v>144436.20000000001</v>
          </cell>
          <cell r="AZ297">
            <v>26702.269999999997</v>
          </cell>
          <cell r="BC297">
            <v>4431.59</v>
          </cell>
        </row>
        <row r="298">
          <cell r="D298">
            <v>152743.1</v>
          </cell>
          <cell r="P298">
            <v>60747.339999999989</v>
          </cell>
          <cell r="AI298">
            <v>98730.32</v>
          </cell>
          <cell r="AJ298">
            <v>28341.070000000003</v>
          </cell>
          <cell r="AW298">
            <v>34745.81</v>
          </cell>
          <cell r="AZ298">
            <v>16714.78</v>
          </cell>
          <cell r="BC298">
            <v>4019</v>
          </cell>
        </row>
        <row r="299">
          <cell r="D299">
            <v>204038.5</v>
          </cell>
          <cell r="P299">
            <v>57932.7</v>
          </cell>
          <cell r="AI299">
            <v>115156.27</v>
          </cell>
          <cell r="AJ299">
            <v>10127.630000000001</v>
          </cell>
          <cell r="AW299">
            <v>74244.73</v>
          </cell>
          <cell r="AZ299">
            <v>16548.5</v>
          </cell>
          <cell r="BC299">
            <v>3710.5</v>
          </cell>
        </row>
        <row r="300">
          <cell r="D300">
            <v>301216.05</v>
          </cell>
          <cell r="P300">
            <v>93561.540000000008</v>
          </cell>
          <cell r="AI300">
            <v>132770.05000000002</v>
          </cell>
          <cell r="AJ300">
            <v>5257.9400000000005</v>
          </cell>
          <cell r="AW300">
            <v>92473</v>
          </cell>
          <cell r="AZ300">
            <v>18924.009999999998</v>
          </cell>
          <cell r="BC300">
            <v>6342</v>
          </cell>
        </row>
        <row r="301">
          <cell r="D301">
            <v>325281.49</v>
          </cell>
          <cell r="P301">
            <v>84057.19</v>
          </cell>
          <cell r="AI301">
            <v>127228.88</v>
          </cell>
          <cell r="AJ301">
            <v>7002.44</v>
          </cell>
          <cell r="AW301">
            <v>88188.56</v>
          </cell>
          <cell r="AZ301">
            <v>19748.38</v>
          </cell>
          <cell r="BC301">
            <v>5696</v>
          </cell>
        </row>
        <row r="302">
          <cell r="D302">
            <v>377676.38</v>
          </cell>
          <cell r="P302">
            <v>91803.540000000008</v>
          </cell>
          <cell r="AI302">
            <v>152598.38</v>
          </cell>
          <cell r="AJ302">
            <v>7435.76</v>
          </cell>
          <cell r="AW302">
            <v>110011.87</v>
          </cell>
          <cell r="AZ302">
            <v>24300.63</v>
          </cell>
          <cell r="BC302">
            <v>4855</v>
          </cell>
        </row>
        <row r="303">
          <cell r="D303">
            <v>334531.57</v>
          </cell>
          <cell r="P303">
            <v>118303.61000000002</v>
          </cell>
          <cell r="AI303">
            <v>107301.45</v>
          </cell>
          <cell r="AJ303">
            <v>13313.57</v>
          </cell>
          <cell r="AW303">
            <v>71206.63</v>
          </cell>
          <cell r="AZ303">
            <v>16608.75</v>
          </cell>
          <cell r="BC303">
            <v>4520.25</v>
          </cell>
        </row>
        <row r="304">
          <cell r="D304">
            <v>420632.92</v>
          </cell>
          <cell r="P304">
            <v>176794.65000000002</v>
          </cell>
          <cell r="AI304">
            <v>166666.78999999998</v>
          </cell>
          <cell r="AJ304">
            <v>13951.17</v>
          </cell>
          <cell r="AW304">
            <v>117665.63</v>
          </cell>
          <cell r="AZ304">
            <v>27153.75</v>
          </cell>
          <cell r="BC304">
            <v>4477.33</v>
          </cell>
        </row>
        <row r="305">
          <cell r="D305">
            <v>366583.83999999997</v>
          </cell>
          <cell r="P305">
            <v>138208.43</v>
          </cell>
          <cell r="AI305">
            <v>205432.69</v>
          </cell>
          <cell r="AJ305">
            <v>7241.1</v>
          </cell>
          <cell r="AW305">
            <v>158312.63</v>
          </cell>
          <cell r="AZ305">
            <v>27317.5</v>
          </cell>
          <cell r="BC305">
            <v>5800.71</v>
          </cell>
        </row>
        <row r="306">
          <cell r="D306">
            <v>250940.7</v>
          </cell>
          <cell r="P306">
            <v>111752.69</v>
          </cell>
          <cell r="AI306">
            <v>135580.64000000001</v>
          </cell>
          <cell r="AJ306">
            <v>9455.61</v>
          </cell>
          <cell r="AW306">
            <v>92563.63</v>
          </cell>
          <cell r="AZ306">
            <v>13989.2</v>
          </cell>
          <cell r="BC306">
            <v>4293</v>
          </cell>
        </row>
        <row r="307">
          <cell r="D307">
            <v>301675.69</v>
          </cell>
          <cell r="P307">
            <v>277105.26</v>
          </cell>
          <cell r="AI307">
            <v>442578</v>
          </cell>
          <cell r="AJ307">
            <v>25219.72</v>
          </cell>
          <cell r="AW307">
            <v>325957.87</v>
          </cell>
          <cell r="AZ307">
            <v>12044.380000000001</v>
          </cell>
          <cell r="BC307">
            <v>5796</v>
          </cell>
        </row>
        <row r="308">
          <cell r="D308">
            <v>463319</v>
          </cell>
          <cell r="P308">
            <v>127549.75</v>
          </cell>
          <cell r="AI308">
            <v>519227.07000000007</v>
          </cell>
          <cell r="AJ308">
            <v>28109.32</v>
          </cell>
          <cell r="AW308">
            <v>429111.98000000004</v>
          </cell>
          <cell r="AZ308">
            <v>10526.25</v>
          </cell>
          <cell r="BC308">
            <v>8205.630000000001</v>
          </cell>
        </row>
        <row r="309">
          <cell r="D309">
            <v>294327.59999999998</v>
          </cell>
          <cell r="P309">
            <v>134358.85999999999</v>
          </cell>
          <cell r="AI309">
            <v>243999.58</v>
          </cell>
          <cell r="AJ309">
            <v>49373.939999999995</v>
          </cell>
          <cell r="AW309">
            <v>141996.26999999999</v>
          </cell>
          <cell r="AZ309">
            <v>20623.82</v>
          </cell>
          <cell r="BC309">
            <v>8178</v>
          </cell>
        </row>
        <row r="310">
          <cell r="D310">
            <v>176160.18</v>
          </cell>
          <cell r="P310">
            <v>79725.87</v>
          </cell>
          <cell r="AI310">
            <v>125762.76000000001</v>
          </cell>
          <cell r="AJ310">
            <v>30920.86</v>
          </cell>
          <cell r="AW310">
            <v>66408.600000000006</v>
          </cell>
          <cell r="AZ310">
            <v>13071.56</v>
          </cell>
          <cell r="BC310">
            <v>4702.5</v>
          </cell>
        </row>
        <row r="311">
          <cell r="D311">
            <v>423771.99</v>
          </cell>
          <cell r="P311">
            <v>117852.48999999999</v>
          </cell>
          <cell r="AI311">
            <v>201858.06</v>
          </cell>
          <cell r="AJ311">
            <v>64202.5</v>
          </cell>
          <cell r="AW311">
            <v>78499.69</v>
          </cell>
          <cell r="AZ311">
            <v>31112.720000000001</v>
          </cell>
          <cell r="BC311">
            <v>9695.4699999999993</v>
          </cell>
        </row>
        <row r="312">
          <cell r="D312">
            <v>385137.26</v>
          </cell>
          <cell r="P312">
            <v>118516.7</v>
          </cell>
          <cell r="AI312">
            <v>222045.09000000003</v>
          </cell>
          <cell r="AJ312">
            <v>42794.67</v>
          </cell>
          <cell r="AW312">
            <v>121114.73</v>
          </cell>
          <cell r="AZ312">
            <v>31255.91</v>
          </cell>
          <cell r="BC312">
            <v>6443</v>
          </cell>
        </row>
        <row r="313">
          <cell r="D313">
            <v>491539.15</v>
          </cell>
          <cell r="P313">
            <v>105731.15999999999</v>
          </cell>
          <cell r="AI313">
            <v>552074.39</v>
          </cell>
          <cell r="AJ313">
            <v>42394.99</v>
          </cell>
          <cell r="AW313">
            <v>453939.75</v>
          </cell>
          <cell r="AZ313">
            <v>31087.040000000001</v>
          </cell>
          <cell r="BC313">
            <v>6653.25</v>
          </cell>
        </row>
        <row r="314">
          <cell r="D314">
            <v>305129.05</v>
          </cell>
          <cell r="P314">
            <v>79492.72</v>
          </cell>
          <cell r="AI314">
            <v>120781.69</v>
          </cell>
          <cell r="AJ314">
            <v>15581.880000000001</v>
          </cell>
          <cell r="AW314">
            <v>81440.539999999994</v>
          </cell>
          <cell r="AZ314">
            <v>11784.55</v>
          </cell>
          <cell r="BC314">
            <v>6765.8600000000006</v>
          </cell>
        </row>
        <row r="315">
          <cell r="D315">
            <v>335565.1</v>
          </cell>
          <cell r="P315">
            <v>111270.91999999998</v>
          </cell>
          <cell r="AI315">
            <v>136241.93000000002</v>
          </cell>
          <cell r="AJ315">
            <v>8068</v>
          </cell>
          <cell r="AW315">
            <v>95893.09</v>
          </cell>
          <cell r="AZ315">
            <v>18627.239999999998</v>
          </cell>
          <cell r="BC315">
            <v>4856.8</v>
          </cell>
        </row>
        <row r="316">
          <cell r="D316">
            <v>375314.05</v>
          </cell>
          <cell r="P316">
            <v>106657.70000000001</v>
          </cell>
          <cell r="AI316">
            <v>130497.07</v>
          </cell>
          <cell r="AJ316">
            <v>11900.51</v>
          </cell>
          <cell r="AW316">
            <v>85484.63</v>
          </cell>
          <cell r="AZ316">
            <v>19850.14</v>
          </cell>
          <cell r="BC316">
            <v>7197.63</v>
          </cell>
        </row>
        <row r="317">
          <cell r="D317">
            <v>679034.5</v>
          </cell>
          <cell r="P317">
            <v>115492.34</v>
          </cell>
          <cell r="AI317">
            <v>142876.71</v>
          </cell>
          <cell r="AJ317">
            <v>10773.189999999999</v>
          </cell>
          <cell r="AW317">
            <v>98141.2</v>
          </cell>
          <cell r="AZ317">
            <v>24058.71</v>
          </cell>
          <cell r="BC317">
            <v>6746.43</v>
          </cell>
        </row>
        <row r="318">
          <cell r="D318">
            <v>207968.24000000002</v>
          </cell>
          <cell r="P318">
            <v>95785.73000000001</v>
          </cell>
          <cell r="AI318">
            <v>119591.26</v>
          </cell>
          <cell r="AJ318">
            <v>7468.86</v>
          </cell>
          <cell r="AW318">
            <v>81274.97</v>
          </cell>
          <cell r="AZ318">
            <v>14444.09</v>
          </cell>
          <cell r="BC318">
            <v>3683</v>
          </cell>
        </row>
        <row r="319">
          <cell r="D319">
            <v>226402.32</v>
          </cell>
          <cell r="P319">
            <v>246508.01</v>
          </cell>
          <cell r="AI319">
            <v>426874.30000000005</v>
          </cell>
          <cell r="AJ319">
            <v>22499.920000000002</v>
          </cell>
          <cell r="AW319">
            <v>321438.99</v>
          </cell>
          <cell r="AZ319">
            <v>11762.04</v>
          </cell>
          <cell r="BC319">
            <v>4631.25</v>
          </cell>
        </row>
        <row r="320">
          <cell r="D320">
            <v>363761.19</v>
          </cell>
          <cell r="P320">
            <v>114903.61000000002</v>
          </cell>
          <cell r="AI320">
            <v>496090.29000000004</v>
          </cell>
          <cell r="AJ320">
            <v>26462.04</v>
          </cell>
          <cell r="AW320">
            <v>413971.82</v>
          </cell>
          <cell r="AZ320">
            <v>10812.82</v>
          </cell>
          <cell r="BC320">
            <v>7156.62</v>
          </cell>
        </row>
        <row r="321">
          <cell r="D321">
            <v>1908497.39</v>
          </cell>
          <cell r="P321">
            <v>162711.6</v>
          </cell>
          <cell r="AI321">
            <v>36828.51</v>
          </cell>
          <cell r="AJ321">
            <v>18287.84</v>
          </cell>
          <cell r="AW321">
            <v>0</v>
          </cell>
          <cell r="AZ321">
            <v>0</v>
          </cell>
          <cell r="BC321">
            <v>9338</v>
          </cell>
        </row>
        <row r="322">
          <cell r="D322">
            <v>4128765.91</v>
          </cell>
          <cell r="P322">
            <v>146969.5</v>
          </cell>
          <cell r="AI322">
            <v>29835.01</v>
          </cell>
          <cell r="AJ322">
            <v>16364.509999999998</v>
          </cell>
          <cell r="AW322">
            <v>0</v>
          </cell>
          <cell r="AZ322">
            <v>0</v>
          </cell>
          <cell r="BC322">
            <v>20481</v>
          </cell>
        </row>
        <row r="323">
          <cell r="D323">
            <v>22721012.5</v>
          </cell>
          <cell r="P323">
            <v>134919.86999999997</v>
          </cell>
          <cell r="AI323">
            <v>26089.049999999996</v>
          </cell>
          <cell r="AJ323">
            <v>7029</v>
          </cell>
          <cell r="AW323">
            <v>0</v>
          </cell>
          <cell r="AZ323">
            <v>1701</v>
          </cell>
          <cell r="BC323">
            <v>10908</v>
          </cell>
        </row>
        <row r="324">
          <cell r="D324">
            <v>69905842.510000005</v>
          </cell>
          <cell r="P324">
            <v>84649.069999999992</v>
          </cell>
          <cell r="AI324">
            <v>86796.13</v>
          </cell>
          <cell r="AJ324">
            <v>8152</v>
          </cell>
          <cell r="AW324">
            <v>50074.5</v>
          </cell>
          <cell r="AZ324">
            <v>24955</v>
          </cell>
          <cell r="BC324">
            <v>8112</v>
          </cell>
        </row>
        <row r="325">
          <cell r="D325">
            <v>39191548.449999996</v>
          </cell>
          <cell r="P325">
            <v>96535.57</v>
          </cell>
          <cell r="AI325">
            <v>74182.070000000007</v>
          </cell>
          <cell r="AJ325">
            <v>3759</v>
          </cell>
          <cell r="AW325">
            <v>38283.440000000002</v>
          </cell>
          <cell r="AZ325">
            <v>26278.38</v>
          </cell>
          <cell r="BC325">
            <v>8363.2200000000012</v>
          </cell>
        </row>
        <row r="326">
          <cell r="D326">
            <v>66293986.969999999</v>
          </cell>
          <cell r="P326">
            <v>116375.28</v>
          </cell>
          <cell r="AI326">
            <v>242967.73</v>
          </cell>
          <cell r="AJ326">
            <v>3277.5</v>
          </cell>
          <cell r="AW326">
            <v>197989.31</v>
          </cell>
          <cell r="AZ326">
            <v>33032.589999999997</v>
          </cell>
          <cell r="BC326">
            <v>7961.63</v>
          </cell>
        </row>
        <row r="327">
          <cell r="D327">
            <v>154082.46000000002</v>
          </cell>
          <cell r="P327">
            <v>73533.659999999989</v>
          </cell>
          <cell r="AI327">
            <v>101649.13</v>
          </cell>
          <cell r="AJ327">
            <v>12609.33</v>
          </cell>
          <cell r="AW327">
            <v>62379.179999999993</v>
          </cell>
          <cell r="AZ327">
            <v>12261.05</v>
          </cell>
          <cell r="BC327">
            <v>4769.51</v>
          </cell>
        </row>
        <row r="328">
          <cell r="D328">
            <v>192986.56</v>
          </cell>
          <cell r="P328">
            <v>95754.38</v>
          </cell>
          <cell r="AI328">
            <v>66211.31</v>
          </cell>
          <cell r="AJ328">
            <v>9138.7200000000012</v>
          </cell>
          <cell r="AW328">
            <v>39378.33</v>
          </cell>
          <cell r="AZ328">
            <v>6911.29</v>
          </cell>
          <cell r="BC328">
            <v>5691.27</v>
          </cell>
        </row>
        <row r="329">
          <cell r="D329">
            <v>199145.82</v>
          </cell>
          <cell r="P329">
            <v>85690.77</v>
          </cell>
          <cell r="AI329">
            <v>80697.09</v>
          </cell>
          <cell r="AJ329">
            <v>14299.830000000002</v>
          </cell>
          <cell r="AW329">
            <v>43225</v>
          </cell>
          <cell r="AZ329">
            <v>13222.1</v>
          </cell>
          <cell r="BC329">
            <v>5889.95</v>
          </cell>
        </row>
        <row r="330">
          <cell r="D330">
            <v>95260.02</v>
          </cell>
          <cell r="P330">
            <v>60660.899999999972</v>
          </cell>
          <cell r="AI330">
            <v>75449.789999999994</v>
          </cell>
          <cell r="AJ330">
            <v>10980.88</v>
          </cell>
          <cell r="AW330">
            <v>44114.44</v>
          </cell>
          <cell r="AZ330">
            <v>6436.6100000000006</v>
          </cell>
          <cell r="BC330">
            <v>4766.99</v>
          </cell>
        </row>
        <row r="331">
          <cell r="D331">
            <v>114752.60000000002</v>
          </cell>
          <cell r="P331">
            <v>57684.22</v>
          </cell>
          <cell r="AI331">
            <v>45992.39</v>
          </cell>
          <cell r="AJ331">
            <v>7199.43</v>
          </cell>
          <cell r="AW331">
            <v>23055.95</v>
          </cell>
          <cell r="AZ331">
            <v>5323.23</v>
          </cell>
          <cell r="BC331">
            <v>5529.13</v>
          </cell>
        </row>
        <row r="332">
          <cell r="D332">
            <v>142842.18</v>
          </cell>
          <cell r="P332">
            <v>61936.810000000012</v>
          </cell>
          <cell r="AI332">
            <v>60095.659999999996</v>
          </cell>
          <cell r="AJ332">
            <v>6421.4699999999993</v>
          </cell>
          <cell r="AW332">
            <v>36315.699999999997</v>
          </cell>
          <cell r="AZ332">
            <v>6873.08</v>
          </cell>
          <cell r="BC332">
            <v>4662.3599999999997</v>
          </cell>
        </row>
        <row r="333">
          <cell r="D333">
            <v>191677.91999999998</v>
          </cell>
          <cell r="P333">
            <v>105531.51000000001</v>
          </cell>
          <cell r="AI333">
            <v>89070.09</v>
          </cell>
          <cell r="AJ333">
            <v>21920.21</v>
          </cell>
          <cell r="AW333">
            <v>25549.61</v>
          </cell>
          <cell r="AZ333">
            <v>13812.81</v>
          </cell>
          <cell r="BC333">
            <v>8031.2</v>
          </cell>
        </row>
        <row r="334">
          <cell r="D334">
            <v>194061.53</v>
          </cell>
          <cell r="P334">
            <v>105338.95999999999</v>
          </cell>
          <cell r="AI334">
            <v>86056.93</v>
          </cell>
          <cell r="AJ334">
            <v>13889.15</v>
          </cell>
          <cell r="AW334">
            <v>38584.61</v>
          </cell>
          <cell r="AZ334">
            <v>12932.26</v>
          </cell>
          <cell r="BC334">
            <v>10639.24</v>
          </cell>
        </row>
        <row r="335">
          <cell r="D335">
            <v>257412.19</v>
          </cell>
          <cell r="P335">
            <v>118461.34</v>
          </cell>
          <cell r="AI335">
            <v>382824.05000000005</v>
          </cell>
          <cell r="AJ335">
            <v>13984.89</v>
          </cell>
          <cell r="AW335">
            <v>333656.02</v>
          </cell>
          <cell r="AZ335">
            <v>10341.369999999999</v>
          </cell>
          <cell r="BC335">
            <v>7817.99</v>
          </cell>
        </row>
        <row r="336">
          <cell r="D336">
            <v>394081.73</v>
          </cell>
          <cell r="P336">
            <v>122754.98000000001</v>
          </cell>
          <cell r="AI336">
            <v>237107.57</v>
          </cell>
          <cell r="AJ336">
            <v>40439.760000000002</v>
          </cell>
          <cell r="AW336">
            <v>105874.55</v>
          </cell>
          <cell r="AZ336">
            <v>41446</v>
          </cell>
          <cell r="BC336">
            <v>6736</v>
          </cell>
        </row>
        <row r="337">
          <cell r="D337">
            <v>506524.89</v>
          </cell>
          <cell r="P337">
            <v>154083.77000000002</v>
          </cell>
          <cell r="AI337">
            <v>792762.5</v>
          </cell>
          <cell r="AJ337">
            <v>40145.890000000007</v>
          </cell>
          <cell r="AW337">
            <v>302800.75</v>
          </cell>
          <cell r="AZ337">
            <v>118388.5</v>
          </cell>
          <cell r="BC337">
            <v>6956.1</v>
          </cell>
        </row>
        <row r="338">
          <cell r="D338">
            <v>492740.04000000004</v>
          </cell>
          <cell r="P338">
            <v>178208.14</v>
          </cell>
          <cell r="AI338">
            <v>287655.78999999998</v>
          </cell>
          <cell r="AJ338">
            <v>25547.190000000002</v>
          </cell>
          <cell r="AW338">
            <v>190809.11</v>
          </cell>
          <cell r="AZ338">
            <v>49534.630000000005</v>
          </cell>
          <cell r="BC338">
            <v>6271.5300000000007</v>
          </cell>
        </row>
        <row r="339">
          <cell r="D339">
            <v>568877.57000000007</v>
          </cell>
          <cell r="P339">
            <v>222094.64</v>
          </cell>
          <cell r="AI339">
            <v>474412.83999999997</v>
          </cell>
          <cell r="AJ339">
            <v>15930.58</v>
          </cell>
          <cell r="AW339">
            <v>405673.63</v>
          </cell>
          <cell r="AZ339">
            <v>20878.88</v>
          </cell>
          <cell r="BC339">
            <v>8891.4599999999991</v>
          </cell>
        </row>
        <row r="340">
          <cell r="D340">
            <v>352901.51</v>
          </cell>
          <cell r="P340">
            <v>120691.88</v>
          </cell>
          <cell r="AI340">
            <v>75754.509999999995</v>
          </cell>
          <cell r="AJ340">
            <v>10332.26</v>
          </cell>
          <cell r="AW340">
            <v>33845.879999999997</v>
          </cell>
          <cell r="AZ340">
            <v>15111.380000000001</v>
          </cell>
          <cell r="BC340">
            <v>4852.1000000000004</v>
          </cell>
        </row>
        <row r="341">
          <cell r="D341">
            <v>520895.43</v>
          </cell>
          <cell r="P341">
            <v>188907.72999999998</v>
          </cell>
          <cell r="AI341">
            <v>275651.39</v>
          </cell>
          <cell r="AJ341">
            <v>13351.55</v>
          </cell>
          <cell r="AW341">
            <v>226261.75</v>
          </cell>
          <cell r="AZ341">
            <v>17867.190000000002</v>
          </cell>
          <cell r="BC341">
            <v>5937.5</v>
          </cell>
        </row>
        <row r="342">
          <cell r="D342">
            <v>240346.91999999998</v>
          </cell>
          <cell r="P342">
            <v>123309.25</v>
          </cell>
          <cell r="AI342">
            <v>152003.91999999998</v>
          </cell>
          <cell r="AJ342">
            <v>21222.61</v>
          </cell>
          <cell r="AW342">
            <v>85226.89</v>
          </cell>
          <cell r="AZ342">
            <v>19238</v>
          </cell>
          <cell r="BC342">
            <v>5171.57</v>
          </cell>
        </row>
        <row r="343">
          <cell r="D343">
            <v>191008.66</v>
          </cell>
          <cell r="P343">
            <v>112718.46999999999</v>
          </cell>
          <cell r="AI343">
            <v>307781.54000000004</v>
          </cell>
          <cell r="AJ343">
            <v>14361.06</v>
          </cell>
          <cell r="AW343">
            <v>234753.24</v>
          </cell>
          <cell r="AZ343">
            <v>22514.63</v>
          </cell>
          <cell r="BC343">
            <v>6009.11</v>
          </cell>
        </row>
        <row r="344">
          <cell r="D344">
            <v>307637.02999999997</v>
          </cell>
          <cell r="P344">
            <v>122895.66999999998</v>
          </cell>
          <cell r="AI344">
            <v>335509.21999999997</v>
          </cell>
          <cell r="AJ344">
            <v>37191.17</v>
          </cell>
          <cell r="AW344">
            <v>219948.21000000002</v>
          </cell>
          <cell r="AZ344">
            <v>23035.5</v>
          </cell>
          <cell r="BC344">
            <v>7032.55</v>
          </cell>
        </row>
        <row r="345">
          <cell r="D345">
            <v>415702.31999999995</v>
          </cell>
          <cell r="P345">
            <v>167629.1</v>
          </cell>
          <cell r="AI345">
            <v>206541.90000000002</v>
          </cell>
          <cell r="AJ345">
            <v>44209.960000000006</v>
          </cell>
          <cell r="AW345">
            <v>91290.97</v>
          </cell>
          <cell r="AZ345">
            <v>35342.69</v>
          </cell>
          <cell r="BC345">
            <v>10338.75</v>
          </cell>
        </row>
        <row r="346">
          <cell r="D346">
            <v>0</v>
          </cell>
          <cell r="P346">
            <v>0</v>
          </cell>
          <cell r="AI346">
            <v>0</v>
          </cell>
          <cell r="AJ346">
            <v>0</v>
          </cell>
          <cell r="AW346">
            <v>0</v>
          </cell>
          <cell r="AZ346">
            <v>0</v>
          </cell>
          <cell r="BC346">
            <v>0</v>
          </cell>
        </row>
        <row r="347">
          <cell r="D347">
            <v>97504.38</v>
          </cell>
          <cell r="P347">
            <v>171161.36</v>
          </cell>
          <cell r="AI347">
            <v>41538.78</v>
          </cell>
          <cell r="AJ347">
            <v>7588.13</v>
          </cell>
          <cell r="AW347">
            <v>11643.75</v>
          </cell>
          <cell r="AZ347">
            <v>18168.060000000001</v>
          </cell>
          <cell r="BC347">
            <v>8045.63</v>
          </cell>
        </row>
        <row r="348">
          <cell r="D348">
            <v>276592.01</v>
          </cell>
          <cell r="P348">
            <v>188009.14</v>
          </cell>
          <cell r="AI348">
            <v>180347.25</v>
          </cell>
          <cell r="AJ348">
            <v>22819.4</v>
          </cell>
          <cell r="AW348">
            <v>105802</v>
          </cell>
          <cell r="AZ348">
            <v>25488</v>
          </cell>
          <cell r="BC348">
            <v>7961.1100000000006</v>
          </cell>
        </row>
        <row r="349">
          <cell r="D349">
            <v>285545.83999999997</v>
          </cell>
          <cell r="P349">
            <v>186441.43</v>
          </cell>
          <cell r="AI349">
            <v>277286.61000000004</v>
          </cell>
          <cell r="AJ349">
            <v>21657.23</v>
          </cell>
          <cell r="AW349">
            <v>200522.83</v>
          </cell>
          <cell r="AZ349">
            <v>31261.67</v>
          </cell>
          <cell r="BC349">
            <v>9685.630000000001</v>
          </cell>
        </row>
        <row r="350">
          <cell r="D350">
            <v>316712.45999999996</v>
          </cell>
          <cell r="P350">
            <v>173384.91000000003</v>
          </cell>
          <cell r="AI350">
            <v>229215.88</v>
          </cell>
          <cell r="AJ350">
            <v>16574.059999999998</v>
          </cell>
          <cell r="AW350">
            <v>160716.28999999998</v>
          </cell>
          <cell r="AZ350">
            <v>30089.39</v>
          </cell>
          <cell r="BC350">
            <v>8718.73</v>
          </cell>
        </row>
        <row r="351">
          <cell r="D351">
            <v>440495.14999999997</v>
          </cell>
          <cell r="P351">
            <v>281443.10000000003</v>
          </cell>
          <cell r="AI351">
            <v>368317.98</v>
          </cell>
          <cell r="AJ351">
            <v>150350.88</v>
          </cell>
          <cell r="AW351">
            <v>67361.290000000008</v>
          </cell>
          <cell r="AZ351">
            <v>43961.31</v>
          </cell>
          <cell r="BC351">
            <v>4320.63</v>
          </cell>
        </row>
        <row r="352">
          <cell r="D352">
            <v>531192.19999999995</v>
          </cell>
          <cell r="P352">
            <v>182747.09</v>
          </cell>
          <cell r="AI352">
            <v>319174.48</v>
          </cell>
          <cell r="AJ352">
            <v>146622.41999999998</v>
          </cell>
          <cell r="AW352">
            <v>28677.989999999998</v>
          </cell>
          <cell r="AZ352">
            <v>33689.56</v>
          </cell>
          <cell r="BC352">
            <v>1067.1399999999999</v>
          </cell>
        </row>
        <row r="353">
          <cell r="D353">
            <v>589032.03</v>
          </cell>
          <cell r="P353">
            <v>317697.11</v>
          </cell>
          <cell r="AI353">
            <v>565698.02999999991</v>
          </cell>
          <cell r="AJ353">
            <v>230317.95</v>
          </cell>
          <cell r="AW353">
            <v>131653.4</v>
          </cell>
          <cell r="AZ353">
            <v>24015.73</v>
          </cell>
          <cell r="BC353">
            <v>13636.79</v>
          </cell>
        </row>
        <row r="354">
          <cell r="D354">
            <v>104020.04</v>
          </cell>
          <cell r="P354">
            <v>203006.97</v>
          </cell>
          <cell r="AI354">
            <v>112182.39999999999</v>
          </cell>
          <cell r="AJ354">
            <v>25758.29</v>
          </cell>
          <cell r="AW354">
            <v>39825</v>
          </cell>
          <cell r="AZ354">
            <v>25543.75</v>
          </cell>
          <cell r="BC354">
            <v>8245</v>
          </cell>
        </row>
        <row r="355">
          <cell r="D355">
            <v>111364.75</v>
          </cell>
          <cell r="P355">
            <v>129927.91999999998</v>
          </cell>
          <cell r="AI355">
            <v>206871.73</v>
          </cell>
          <cell r="AJ355">
            <v>28696.03</v>
          </cell>
          <cell r="AW355">
            <v>125263.44</v>
          </cell>
          <cell r="AZ355">
            <v>15817.7</v>
          </cell>
          <cell r="BC355">
            <v>3484.76</v>
          </cell>
        </row>
        <row r="356">
          <cell r="D356">
            <v>138443.99</v>
          </cell>
          <cell r="P356">
            <v>287176.21000000002</v>
          </cell>
          <cell r="AI356">
            <v>157830.60000000003</v>
          </cell>
          <cell r="AJ356">
            <v>24714.67</v>
          </cell>
          <cell r="AW356">
            <v>43882.05</v>
          </cell>
          <cell r="AZ356">
            <v>13232.42</v>
          </cell>
          <cell r="BC356">
            <v>18087.59</v>
          </cell>
        </row>
        <row r="357">
          <cell r="D357">
            <v>297071.34999999998</v>
          </cell>
          <cell r="P357">
            <v>148428.37</v>
          </cell>
          <cell r="AI357">
            <v>185902.15</v>
          </cell>
          <cell r="AJ357">
            <v>34416.18</v>
          </cell>
          <cell r="AW357">
            <v>81739.25</v>
          </cell>
          <cell r="AZ357">
            <v>21234.2</v>
          </cell>
          <cell r="BC357">
            <v>4929.75</v>
          </cell>
        </row>
        <row r="358">
          <cell r="D358">
            <v>238144.31</v>
          </cell>
          <cell r="P358">
            <v>60882.310000000005</v>
          </cell>
          <cell r="AI358">
            <v>80911.709999999992</v>
          </cell>
          <cell r="AJ358">
            <v>22215.81</v>
          </cell>
          <cell r="AW358">
            <v>10977.130000000001</v>
          </cell>
          <cell r="AZ358">
            <v>13683.29</v>
          </cell>
          <cell r="BC358">
            <v>5565.77</v>
          </cell>
        </row>
        <row r="359">
          <cell r="D359">
            <v>278772.76</v>
          </cell>
          <cell r="P359">
            <v>134668.1</v>
          </cell>
          <cell r="AI359">
            <v>186847.33</v>
          </cell>
          <cell r="AJ359">
            <v>48456.98</v>
          </cell>
          <cell r="AW359">
            <v>15133.48</v>
          </cell>
          <cell r="AZ359">
            <v>69643.55</v>
          </cell>
          <cell r="BC359">
            <v>6106.5</v>
          </cell>
        </row>
        <row r="360">
          <cell r="D360">
            <v>296370.34000000003</v>
          </cell>
          <cell r="P360">
            <v>99243.25</v>
          </cell>
          <cell r="AI360">
            <v>127512.04000000001</v>
          </cell>
          <cell r="AJ360">
            <v>62576.2</v>
          </cell>
          <cell r="AW360">
            <v>16931.669999999998</v>
          </cell>
          <cell r="AZ360">
            <v>21990.25</v>
          </cell>
          <cell r="BC360">
            <v>2920</v>
          </cell>
        </row>
        <row r="361">
          <cell r="D361">
            <v>171666.12</v>
          </cell>
          <cell r="P361">
            <v>96206.010000000009</v>
          </cell>
          <cell r="AI361">
            <v>119326.07</v>
          </cell>
          <cell r="AJ361">
            <v>64222.879999999997</v>
          </cell>
          <cell r="AW361">
            <v>7701.5</v>
          </cell>
          <cell r="AZ361">
            <v>27665.439999999999</v>
          </cell>
          <cell r="BC361">
            <v>3585.1</v>
          </cell>
        </row>
        <row r="362">
          <cell r="D362">
            <v>151296.16</v>
          </cell>
          <cell r="P362">
            <v>279619.20000000001</v>
          </cell>
          <cell r="AI362">
            <v>155711.33000000002</v>
          </cell>
          <cell r="AJ362">
            <v>47182.96</v>
          </cell>
          <cell r="AW362">
            <v>22421.4</v>
          </cell>
          <cell r="AZ362">
            <v>12434.630000000001</v>
          </cell>
          <cell r="BC362">
            <v>10825.869999999999</v>
          </cell>
        </row>
        <row r="363">
          <cell r="D363">
            <v>424021.91</v>
          </cell>
          <cell r="P363">
            <v>193135.21</v>
          </cell>
          <cell r="AI363">
            <v>161432.27000000002</v>
          </cell>
          <cell r="AJ363">
            <v>57916.72</v>
          </cell>
          <cell r="AW363">
            <v>12437.25</v>
          </cell>
          <cell r="AZ363">
            <v>47192.5</v>
          </cell>
          <cell r="BC363">
            <v>7721.25</v>
          </cell>
        </row>
        <row r="364">
          <cell r="D364">
            <v>212123.29</v>
          </cell>
          <cell r="P364">
            <v>99453.029999999984</v>
          </cell>
          <cell r="AI364">
            <v>112009.06</v>
          </cell>
          <cell r="AJ364">
            <v>53634.52</v>
          </cell>
          <cell r="AW364">
            <v>15088.23</v>
          </cell>
          <cell r="AZ364">
            <v>29636.48</v>
          </cell>
          <cell r="BC364">
            <v>3245.8</v>
          </cell>
        </row>
        <row r="365">
          <cell r="D365">
            <v>177118.62</v>
          </cell>
          <cell r="P365">
            <v>230792.92</v>
          </cell>
          <cell r="AI365">
            <v>142570.75</v>
          </cell>
          <cell r="AJ365">
            <v>36003.660000000003</v>
          </cell>
          <cell r="AW365">
            <v>26462.559999999998</v>
          </cell>
          <cell r="AZ365">
            <v>18899.47</v>
          </cell>
          <cell r="BC365">
            <v>7102.68</v>
          </cell>
        </row>
        <row r="366">
          <cell r="D366">
            <v>108843.18000000001</v>
          </cell>
          <cell r="P366">
            <v>106659.28</v>
          </cell>
          <cell r="AI366">
            <v>62881.66</v>
          </cell>
          <cell r="AJ366">
            <v>18007.07</v>
          </cell>
          <cell r="AW366">
            <v>29249.300000000003</v>
          </cell>
          <cell r="AZ366">
            <v>6660.86</v>
          </cell>
          <cell r="BC366">
            <v>2000</v>
          </cell>
        </row>
        <row r="367">
          <cell r="D367">
            <v>111186.26000000001</v>
          </cell>
          <cell r="P367">
            <v>87903.01</v>
          </cell>
          <cell r="AI367">
            <v>86544.53</v>
          </cell>
          <cell r="AJ367">
            <v>31560.750000000004</v>
          </cell>
          <cell r="AW367">
            <v>39560.400000000001</v>
          </cell>
          <cell r="AZ367">
            <v>7339.13</v>
          </cell>
          <cell r="BC367">
            <v>1806.05</v>
          </cell>
        </row>
        <row r="368">
          <cell r="D368">
            <v>168557.85</v>
          </cell>
          <cell r="P368">
            <v>126286.6</v>
          </cell>
          <cell r="AI368">
            <v>191702.76</v>
          </cell>
          <cell r="AJ368">
            <v>27882.629999999997</v>
          </cell>
          <cell r="AW368">
            <v>131420.98000000001</v>
          </cell>
          <cell r="AZ368">
            <v>7987.8799999999992</v>
          </cell>
          <cell r="BC368">
            <v>2187.5</v>
          </cell>
        </row>
        <row r="369">
          <cell r="D369">
            <v>139991</v>
          </cell>
          <cell r="P369">
            <v>347597.53</v>
          </cell>
          <cell r="AI369">
            <v>229048.58000000002</v>
          </cell>
          <cell r="AJ369">
            <v>25992.13</v>
          </cell>
          <cell r="AW369">
            <v>119458.75</v>
          </cell>
          <cell r="AZ369">
            <v>18309</v>
          </cell>
          <cell r="BC369">
            <v>460</v>
          </cell>
        </row>
        <row r="370">
          <cell r="D370">
            <v>138442.04999999999</v>
          </cell>
          <cell r="P370">
            <v>242967.83</v>
          </cell>
          <cell r="AI370">
            <v>127399.83000000002</v>
          </cell>
          <cell r="AJ370">
            <v>32107.090000000004</v>
          </cell>
          <cell r="AW370">
            <v>50053.599999999999</v>
          </cell>
          <cell r="AZ370">
            <v>19256.57</v>
          </cell>
          <cell r="BC370">
            <v>4055</v>
          </cell>
        </row>
        <row r="371">
          <cell r="D371">
            <v>109205.5</v>
          </cell>
          <cell r="P371">
            <v>102566.20999999999</v>
          </cell>
          <cell r="AI371">
            <v>142708.6</v>
          </cell>
          <cell r="AJ371">
            <v>26400.65</v>
          </cell>
          <cell r="AW371">
            <v>76365.600000000006</v>
          </cell>
          <cell r="AZ371">
            <v>18613.830000000002</v>
          </cell>
          <cell r="BC371">
            <v>6415</v>
          </cell>
        </row>
        <row r="372">
          <cell r="D372">
            <v>154980.75</v>
          </cell>
          <cell r="P372">
            <v>208332.75</v>
          </cell>
          <cell r="AI372">
            <v>137084.4</v>
          </cell>
          <cell r="AJ372">
            <v>24590.45</v>
          </cell>
          <cell r="AW372">
            <v>50239.6</v>
          </cell>
          <cell r="AZ372">
            <v>29836.25</v>
          </cell>
          <cell r="BC372">
            <v>7940</v>
          </cell>
        </row>
        <row r="373">
          <cell r="D373">
            <v>230660</v>
          </cell>
          <cell r="P373">
            <v>283258.58</v>
          </cell>
          <cell r="AI373">
            <v>170084.13</v>
          </cell>
          <cell r="AJ373">
            <v>22721.399999999998</v>
          </cell>
          <cell r="AW373">
            <v>99376.8</v>
          </cell>
          <cell r="AZ373">
            <v>20567</v>
          </cell>
          <cell r="BC373">
            <v>3240</v>
          </cell>
        </row>
        <row r="374">
          <cell r="D374">
            <v>216606.5</v>
          </cell>
          <cell r="P374">
            <v>290924.07999999996</v>
          </cell>
          <cell r="AI374">
            <v>132209.54</v>
          </cell>
          <cell r="AJ374">
            <v>15494.9</v>
          </cell>
          <cell r="AW374">
            <v>57037.4</v>
          </cell>
          <cell r="AZ374">
            <v>17064.12</v>
          </cell>
          <cell r="BC374">
            <v>5505</v>
          </cell>
        </row>
        <row r="375">
          <cell r="D375">
            <v>217843.91999999998</v>
          </cell>
          <cell r="P375">
            <v>334870.95</v>
          </cell>
          <cell r="AI375">
            <v>170700.75</v>
          </cell>
          <cell r="AJ375">
            <v>22081.3</v>
          </cell>
          <cell r="AW375">
            <v>43717.5</v>
          </cell>
          <cell r="AZ375">
            <v>63796</v>
          </cell>
          <cell r="BC375">
            <v>5215</v>
          </cell>
        </row>
        <row r="376">
          <cell r="D376">
            <v>205839.93</v>
          </cell>
          <cell r="P376">
            <v>397930.04000000004</v>
          </cell>
          <cell r="AI376">
            <v>163891.43</v>
          </cell>
          <cell r="AJ376">
            <v>24889.14</v>
          </cell>
          <cell r="AW376">
            <v>58271</v>
          </cell>
          <cell r="AZ376">
            <v>56484</v>
          </cell>
          <cell r="BC376">
            <v>4610</v>
          </cell>
        </row>
        <row r="377">
          <cell r="D377">
            <v>249564.22999999998</v>
          </cell>
          <cell r="P377">
            <v>298421.83</v>
          </cell>
          <cell r="AI377">
            <v>210123.46000000002</v>
          </cell>
          <cell r="AJ377">
            <v>22713.03</v>
          </cell>
          <cell r="AW377">
            <v>117808.6</v>
          </cell>
          <cell r="AZ377">
            <v>46348.75</v>
          </cell>
          <cell r="BC377">
            <v>2683</v>
          </cell>
        </row>
        <row r="378">
          <cell r="D378">
            <v>177396.56</v>
          </cell>
          <cell r="P378">
            <v>159955.21</v>
          </cell>
          <cell r="AI378">
            <v>128426.50999999998</v>
          </cell>
          <cell r="AJ378">
            <v>16547.36</v>
          </cell>
          <cell r="AW378">
            <v>66561.850000000006</v>
          </cell>
          <cell r="AZ378">
            <v>21462.9</v>
          </cell>
          <cell r="BC378">
            <v>10428.44</v>
          </cell>
        </row>
        <row r="379">
          <cell r="D379">
            <v>255816.75</v>
          </cell>
          <cell r="P379">
            <v>158320.88999999998</v>
          </cell>
          <cell r="AI379">
            <v>295423.22000000003</v>
          </cell>
          <cell r="AJ379">
            <v>20976.82</v>
          </cell>
          <cell r="AW379">
            <v>194526.9</v>
          </cell>
          <cell r="AZ379">
            <v>30485.25</v>
          </cell>
          <cell r="BC379">
            <v>11750</v>
          </cell>
        </row>
        <row r="380">
          <cell r="D380">
            <v>302918.5</v>
          </cell>
          <cell r="P380">
            <v>132508.35</v>
          </cell>
          <cell r="AI380">
            <v>201630.65999999997</v>
          </cell>
          <cell r="AJ380">
            <v>10648.75</v>
          </cell>
          <cell r="AW380">
            <v>120729</v>
          </cell>
          <cell r="AZ380">
            <v>19251.25</v>
          </cell>
          <cell r="BC380">
            <v>13783.75</v>
          </cell>
        </row>
        <row r="381">
          <cell r="D381">
            <v>292780</v>
          </cell>
          <cell r="P381">
            <v>352495.15</v>
          </cell>
          <cell r="AI381">
            <v>212662.44</v>
          </cell>
          <cell r="AJ381">
            <v>30269.85</v>
          </cell>
          <cell r="AW381">
            <v>96603.199999999997</v>
          </cell>
          <cell r="AZ381">
            <v>20643.579999999998</v>
          </cell>
          <cell r="BC381">
            <v>14255</v>
          </cell>
        </row>
        <row r="382">
          <cell r="D382">
            <v>272317.5</v>
          </cell>
          <cell r="P382">
            <v>281798.90000000002</v>
          </cell>
          <cell r="AI382">
            <v>192589.52</v>
          </cell>
          <cell r="AJ382">
            <v>35340.75</v>
          </cell>
          <cell r="AW382">
            <v>86493.6</v>
          </cell>
          <cell r="AZ382">
            <v>26178.82</v>
          </cell>
          <cell r="BC382">
            <v>11820</v>
          </cell>
        </row>
        <row r="383">
          <cell r="D383">
            <v>284903.5</v>
          </cell>
          <cell r="P383">
            <v>129691.5</v>
          </cell>
          <cell r="AI383">
            <v>233516.97</v>
          </cell>
          <cell r="AJ383">
            <v>43552.85</v>
          </cell>
          <cell r="AW383">
            <v>100609.25</v>
          </cell>
          <cell r="AZ383">
            <v>30895</v>
          </cell>
          <cell r="BC383">
            <v>12205</v>
          </cell>
        </row>
      </sheetData>
      <sheetData sheetId="2">
        <row r="87">
          <cell r="D87">
            <v>146.89000000000001</v>
          </cell>
          <cell r="P87">
            <v>12.492999999999999</v>
          </cell>
          <cell r="AI87">
            <v>301.572</v>
          </cell>
          <cell r="AJ87">
            <v>1.1319999999999999</v>
          </cell>
          <cell r="AW87">
            <v>18.55</v>
          </cell>
          <cell r="AZ87">
            <v>281.34000000000003</v>
          </cell>
          <cell r="BC87">
            <v>0.05</v>
          </cell>
        </row>
        <row r="88">
          <cell r="D88">
            <v>108.59</v>
          </cell>
          <cell r="P88">
            <v>14.665999999999999</v>
          </cell>
          <cell r="AI88">
            <v>194.18999999999997</v>
          </cell>
          <cell r="AJ88">
            <v>1.1300000000000001</v>
          </cell>
          <cell r="AW88">
            <v>5.22</v>
          </cell>
          <cell r="AZ88">
            <v>187.29999999999998</v>
          </cell>
          <cell r="BC88">
            <v>0.03</v>
          </cell>
        </row>
        <row r="89">
          <cell r="D89">
            <v>135.10000000000002</v>
          </cell>
          <cell r="P89">
            <v>27.175000000000004</v>
          </cell>
          <cell r="AI89">
            <v>340.72300000000001</v>
          </cell>
          <cell r="AJ89">
            <v>3.6630000000000003</v>
          </cell>
          <cell r="AW89">
            <v>18.52</v>
          </cell>
          <cell r="AZ89">
            <v>318.21000000000004</v>
          </cell>
          <cell r="BC89">
            <v>0.04</v>
          </cell>
        </row>
        <row r="90">
          <cell r="D90">
            <v>103.38000000000001</v>
          </cell>
          <cell r="P90">
            <v>25.490000000000002</v>
          </cell>
          <cell r="AI90">
            <v>332.35399999999998</v>
          </cell>
          <cell r="AJ90">
            <v>1.1600000000000001</v>
          </cell>
          <cell r="AW90">
            <v>13.15</v>
          </cell>
          <cell r="AZ90">
            <v>316.01</v>
          </cell>
          <cell r="BC90">
            <v>0.01</v>
          </cell>
        </row>
        <row r="91">
          <cell r="D91">
            <v>118.22</v>
          </cell>
          <cell r="P91">
            <v>32.286000000000001</v>
          </cell>
          <cell r="AI91">
            <v>314.245</v>
          </cell>
          <cell r="AJ91">
            <v>2.13</v>
          </cell>
          <cell r="AW91">
            <v>77.61</v>
          </cell>
          <cell r="AZ91">
            <v>230.82999999999998</v>
          </cell>
          <cell r="BC91">
            <v>3.0000000000000001E-3</v>
          </cell>
        </row>
        <row r="92">
          <cell r="D92">
            <v>69.72</v>
          </cell>
          <cell r="P92">
            <v>20.064999999999994</v>
          </cell>
          <cell r="AI92">
            <v>122.02199999999999</v>
          </cell>
          <cell r="AJ92">
            <v>2.5299999999999998</v>
          </cell>
          <cell r="AW92">
            <v>14.72</v>
          </cell>
          <cell r="AZ92">
            <v>100.5</v>
          </cell>
          <cell r="BC92">
            <v>0.11</v>
          </cell>
        </row>
        <row r="93">
          <cell r="D93">
            <v>73.639999999999986</v>
          </cell>
          <cell r="P93">
            <v>13.249999999999998</v>
          </cell>
          <cell r="AI93">
            <v>134.375</v>
          </cell>
          <cell r="AJ93">
            <v>10.405000000000001</v>
          </cell>
          <cell r="AW93">
            <v>43.98</v>
          </cell>
          <cell r="AZ93">
            <v>78.259999999999991</v>
          </cell>
          <cell r="BC93">
            <v>0.15</v>
          </cell>
        </row>
        <row r="94">
          <cell r="D94">
            <v>46.12</v>
          </cell>
          <cell r="P94">
            <v>7.3040000000000003</v>
          </cell>
          <cell r="AI94">
            <v>116.19</v>
          </cell>
          <cell r="AJ94">
            <v>5.45</v>
          </cell>
          <cell r="AW94">
            <v>81.36</v>
          </cell>
          <cell r="AZ94">
            <v>25.69</v>
          </cell>
          <cell r="BC94">
            <v>0.17</v>
          </cell>
        </row>
        <row r="95">
          <cell r="D95">
            <v>45.899999999999991</v>
          </cell>
          <cell r="P95">
            <v>4.5510000000000002</v>
          </cell>
          <cell r="AI95">
            <v>227.42500000000001</v>
          </cell>
          <cell r="AJ95">
            <v>11.705</v>
          </cell>
          <cell r="AW95">
            <v>70.22</v>
          </cell>
          <cell r="AZ95">
            <v>139</v>
          </cell>
          <cell r="BC95">
            <v>0.14000000000000001</v>
          </cell>
        </row>
        <row r="96">
          <cell r="D96">
            <v>49.339999999999996</v>
          </cell>
          <cell r="P96">
            <v>6.775999999999998</v>
          </cell>
          <cell r="AI96">
            <v>24.01</v>
          </cell>
          <cell r="AJ96">
            <v>6.82</v>
          </cell>
          <cell r="AW96">
            <v>8.07</v>
          </cell>
          <cell r="AZ96">
            <v>6.66</v>
          </cell>
          <cell r="BC96">
            <v>0.21</v>
          </cell>
        </row>
        <row r="97">
          <cell r="D97">
            <v>58.26</v>
          </cell>
          <cell r="P97">
            <v>5.6749999999999998</v>
          </cell>
          <cell r="AI97">
            <v>23.159999999999997</v>
          </cell>
          <cell r="AJ97">
            <v>2.4900000000000002</v>
          </cell>
          <cell r="AW97">
            <v>13.03</v>
          </cell>
          <cell r="AZ97">
            <v>5.33</v>
          </cell>
          <cell r="BC97">
            <v>9.9999999999999992E-2</v>
          </cell>
        </row>
        <row r="98">
          <cell r="D98">
            <v>8.129999999999999</v>
          </cell>
          <cell r="P98">
            <v>5.6919999999999993</v>
          </cell>
          <cell r="AI98">
            <v>1.76</v>
          </cell>
          <cell r="AJ98">
            <v>0.51</v>
          </cell>
          <cell r="AW98">
            <v>0.53</v>
          </cell>
          <cell r="AZ98">
            <v>0.64999999999999991</v>
          </cell>
          <cell r="BC98">
            <v>0.08</v>
          </cell>
        </row>
        <row r="99">
          <cell r="D99">
            <v>94.97</v>
          </cell>
          <cell r="P99">
            <v>6.4250000000000007</v>
          </cell>
          <cell r="AI99">
            <v>258.19</v>
          </cell>
          <cell r="AJ99">
            <v>7.0200000000000005</v>
          </cell>
          <cell r="AW99">
            <v>5.2</v>
          </cell>
          <cell r="AZ99">
            <v>245.29000000000002</v>
          </cell>
          <cell r="BC99">
            <v>0.01</v>
          </cell>
        </row>
        <row r="100">
          <cell r="D100">
            <v>112.96</v>
          </cell>
          <cell r="P100">
            <v>19.625000000000004</v>
          </cell>
          <cell r="AI100">
            <v>164.41000000000003</v>
          </cell>
          <cell r="AJ100">
            <v>5.8500000000000005</v>
          </cell>
          <cell r="AW100">
            <v>8.4</v>
          </cell>
          <cell r="AZ100">
            <v>148.79000000000002</v>
          </cell>
          <cell r="BC100">
            <v>0.01</v>
          </cell>
        </row>
        <row r="101">
          <cell r="D101">
            <v>42.070000000000007</v>
          </cell>
          <cell r="P101">
            <v>8.8360000000000003</v>
          </cell>
          <cell r="AI101">
            <v>113.79</v>
          </cell>
          <cell r="AJ101">
            <v>3.6999999999999997</v>
          </cell>
          <cell r="AW101">
            <v>11.67</v>
          </cell>
          <cell r="AZ101">
            <v>97.92</v>
          </cell>
          <cell r="BC101">
            <v>0</v>
          </cell>
        </row>
        <row r="102">
          <cell r="D102">
            <v>89.389999999999986</v>
          </cell>
          <cell r="P102">
            <v>12.462</v>
          </cell>
          <cell r="AI102">
            <v>54.66</v>
          </cell>
          <cell r="AJ102">
            <v>3.97</v>
          </cell>
          <cell r="AW102">
            <v>0</v>
          </cell>
          <cell r="AZ102">
            <v>36.99</v>
          </cell>
          <cell r="BC102">
            <v>0.01</v>
          </cell>
        </row>
        <row r="103">
          <cell r="D103">
            <v>128.96</v>
          </cell>
          <cell r="P103">
            <v>18.494</v>
          </cell>
          <cell r="AI103">
            <v>91.93</v>
          </cell>
          <cell r="AJ103">
            <v>5.07</v>
          </cell>
          <cell r="AW103">
            <v>0</v>
          </cell>
          <cell r="AZ103">
            <v>74.06</v>
          </cell>
          <cell r="BC103">
            <v>0.04</v>
          </cell>
        </row>
        <row r="104">
          <cell r="D104">
            <v>38.36</v>
          </cell>
          <cell r="P104">
            <v>2.3199999999999998</v>
          </cell>
          <cell r="AI104">
            <v>36.25</v>
          </cell>
          <cell r="AJ104">
            <v>2.94</v>
          </cell>
          <cell r="AW104">
            <v>7.01</v>
          </cell>
          <cell r="AZ104">
            <v>25.21</v>
          </cell>
          <cell r="BC104">
            <v>0</v>
          </cell>
        </row>
        <row r="105">
          <cell r="D105">
            <v>64.739999999999995</v>
          </cell>
          <cell r="P105">
            <v>18.460099999999997</v>
          </cell>
          <cell r="AI105">
            <v>86.08</v>
          </cell>
          <cell r="AJ105">
            <v>7.82</v>
          </cell>
          <cell r="AW105">
            <v>51.33</v>
          </cell>
          <cell r="AZ105">
            <v>25.22</v>
          </cell>
          <cell r="BC105">
            <v>0</v>
          </cell>
        </row>
        <row r="106">
          <cell r="D106">
            <v>35.76</v>
          </cell>
          <cell r="P106">
            <v>12.268999999999997</v>
          </cell>
          <cell r="AI106">
            <v>56.400000000000006</v>
          </cell>
          <cell r="AJ106">
            <v>10.86</v>
          </cell>
          <cell r="AW106">
            <v>35.57</v>
          </cell>
          <cell r="AZ106">
            <v>6.99</v>
          </cell>
          <cell r="BC106">
            <v>0.12</v>
          </cell>
        </row>
        <row r="107">
          <cell r="D107">
            <v>42.162999999999997</v>
          </cell>
          <cell r="P107">
            <v>4.67</v>
          </cell>
          <cell r="AI107">
            <v>33.29</v>
          </cell>
          <cell r="AJ107">
            <v>9.31</v>
          </cell>
          <cell r="AW107">
            <v>13.42</v>
          </cell>
          <cell r="AZ107">
            <v>6.6000000000000005</v>
          </cell>
          <cell r="BC107">
            <v>0.04</v>
          </cell>
        </row>
        <row r="108">
          <cell r="D108">
            <v>94.61</v>
          </cell>
          <cell r="P108">
            <v>20.127000000000002</v>
          </cell>
          <cell r="AI108">
            <v>253.45100000000002</v>
          </cell>
          <cell r="AJ108">
            <v>7.5909999999999993</v>
          </cell>
          <cell r="AW108">
            <v>202.52</v>
          </cell>
          <cell r="AZ108">
            <v>25.34</v>
          </cell>
          <cell r="BC108">
            <v>0.03</v>
          </cell>
        </row>
        <row r="109">
          <cell r="D109">
            <v>109.36999999999999</v>
          </cell>
          <cell r="P109">
            <v>6.6359999999999992</v>
          </cell>
          <cell r="AI109">
            <v>57.53</v>
          </cell>
          <cell r="AJ109">
            <v>3.4699999999999998</v>
          </cell>
          <cell r="AW109">
            <v>20.82</v>
          </cell>
          <cell r="AZ109">
            <v>26.72</v>
          </cell>
          <cell r="BC109">
            <v>0</v>
          </cell>
        </row>
        <row r="110">
          <cell r="D110">
            <v>117.67999999999998</v>
          </cell>
          <cell r="P110">
            <v>14.739999999999998</v>
          </cell>
          <cell r="AI110">
            <v>39.962999999999994</v>
          </cell>
          <cell r="AJ110">
            <v>1.4529999999999998</v>
          </cell>
          <cell r="AW110">
            <v>18.47</v>
          </cell>
          <cell r="AZ110">
            <v>17.13</v>
          </cell>
          <cell r="BC110">
            <v>0.26</v>
          </cell>
        </row>
        <row r="111">
          <cell r="D111">
            <v>55.11</v>
          </cell>
          <cell r="P111">
            <v>14.509</v>
          </cell>
          <cell r="AI111">
            <v>15.089999999999998</v>
          </cell>
          <cell r="AJ111">
            <v>3.06</v>
          </cell>
          <cell r="AW111">
            <v>2.73</v>
          </cell>
          <cell r="AZ111">
            <v>8.6199999999999992</v>
          </cell>
          <cell r="BC111">
            <v>0.49</v>
          </cell>
        </row>
        <row r="112">
          <cell r="D112">
            <v>107.84</v>
          </cell>
          <cell r="P112">
            <v>16.745999999999999</v>
          </cell>
          <cell r="AI112">
            <v>76.489999999999995</v>
          </cell>
          <cell r="AJ112">
            <v>3.88</v>
          </cell>
          <cell r="AW112">
            <v>0.13</v>
          </cell>
          <cell r="AZ112">
            <v>70.66</v>
          </cell>
          <cell r="BC112">
            <v>0.5</v>
          </cell>
        </row>
        <row r="113">
          <cell r="D113">
            <v>128.60000000000002</v>
          </cell>
          <cell r="P113">
            <v>26.059000000000005</v>
          </cell>
          <cell r="AI113">
            <v>47.776000000000003</v>
          </cell>
          <cell r="AJ113">
            <v>5.056</v>
          </cell>
          <cell r="AW113">
            <v>21.87</v>
          </cell>
          <cell r="AZ113">
            <v>13.71</v>
          </cell>
          <cell r="BC113">
            <v>0.95</v>
          </cell>
        </row>
        <row r="114">
          <cell r="D114">
            <v>37.89</v>
          </cell>
          <cell r="P114">
            <v>157.07199999999997</v>
          </cell>
          <cell r="AI114">
            <v>45.730000000000004</v>
          </cell>
          <cell r="AJ114">
            <v>4.03</v>
          </cell>
          <cell r="AW114">
            <v>14.87</v>
          </cell>
          <cell r="AZ114">
            <v>22.14</v>
          </cell>
          <cell r="BC114">
            <v>0.49</v>
          </cell>
        </row>
        <row r="115">
          <cell r="D115">
            <v>16.53</v>
          </cell>
          <cell r="P115">
            <v>28.65</v>
          </cell>
          <cell r="AI115">
            <v>21.4</v>
          </cell>
          <cell r="AJ115">
            <v>1.42</v>
          </cell>
          <cell r="AW115">
            <v>13.04</v>
          </cell>
          <cell r="AZ115">
            <v>5.9399999999999995</v>
          </cell>
          <cell r="BC115">
            <v>0.97</v>
          </cell>
        </row>
        <row r="116">
          <cell r="D116">
            <v>40.270000000000003</v>
          </cell>
          <cell r="P116">
            <v>39.480000000000004</v>
          </cell>
          <cell r="AI116">
            <v>70.950999999999993</v>
          </cell>
          <cell r="AJ116">
            <v>4.1710000000000003</v>
          </cell>
          <cell r="AW116">
            <v>14.25</v>
          </cell>
          <cell r="AZ116">
            <v>49.74</v>
          </cell>
          <cell r="BC116">
            <v>0.78</v>
          </cell>
        </row>
        <row r="117">
          <cell r="D117">
            <v>10.34</v>
          </cell>
          <cell r="P117">
            <v>4.82</v>
          </cell>
          <cell r="AI117">
            <v>15.159999999999998</v>
          </cell>
          <cell r="AJ117">
            <v>4.13</v>
          </cell>
          <cell r="AW117">
            <v>6.85</v>
          </cell>
          <cell r="AZ117">
            <v>1.5899999999999999</v>
          </cell>
          <cell r="BC117">
            <v>0.28999999999999998</v>
          </cell>
        </row>
        <row r="118">
          <cell r="D118">
            <v>27.22</v>
          </cell>
          <cell r="P118">
            <v>4.4299999999999988</v>
          </cell>
          <cell r="AI118">
            <v>19.53</v>
          </cell>
          <cell r="AJ118">
            <v>3.41</v>
          </cell>
          <cell r="AW118">
            <v>6.91</v>
          </cell>
          <cell r="AZ118">
            <v>4.92</v>
          </cell>
          <cell r="BC118">
            <v>0.27</v>
          </cell>
        </row>
        <row r="119">
          <cell r="D119">
            <v>24.429999999999996</v>
          </cell>
          <cell r="P119">
            <v>9.2100000000000009</v>
          </cell>
          <cell r="AI119">
            <v>33.169999999999995</v>
          </cell>
          <cell r="AJ119">
            <v>8.1999999999999993</v>
          </cell>
          <cell r="AW119">
            <v>5.24</v>
          </cell>
          <cell r="AZ119">
            <v>5.04</v>
          </cell>
          <cell r="BC119">
            <v>0.62</v>
          </cell>
        </row>
        <row r="120">
          <cell r="D120">
            <v>72.680000000000007</v>
          </cell>
          <cell r="P120">
            <v>11.509999999999998</v>
          </cell>
          <cell r="AI120">
            <v>101.44999999999999</v>
          </cell>
          <cell r="AJ120">
            <v>5.92</v>
          </cell>
          <cell r="AW120">
            <v>32.85</v>
          </cell>
          <cell r="AZ120">
            <v>19.05</v>
          </cell>
          <cell r="BC120">
            <v>0.17</v>
          </cell>
        </row>
        <row r="121">
          <cell r="D121">
            <v>106.28000000000002</v>
          </cell>
          <cell r="P121">
            <v>14.73</v>
          </cell>
          <cell r="AI121">
            <v>86.19</v>
          </cell>
          <cell r="AJ121">
            <v>3.82</v>
          </cell>
          <cell r="AW121">
            <v>28.16</v>
          </cell>
          <cell r="AZ121">
            <v>16.240000000000002</v>
          </cell>
          <cell r="BC121">
            <v>0.57999999999999996</v>
          </cell>
        </row>
        <row r="122">
          <cell r="D122">
            <v>110.84</v>
          </cell>
          <cell r="P122">
            <v>18.120000000000005</v>
          </cell>
          <cell r="AI122">
            <v>35.24</v>
          </cell>
          <cell r="AJ122">
            <v>4.5</v>
          </cell>
          <cell r="AW122">
            <v>12.15</v>
          </cell>
          <cell r="AZ122">
            <v>11.91</v>
          </cell>
          <cell r="BC122">
            <v>0.41000000000000003</v>
          </cell>
        </row>
        <row r="123">
          <cell r="D123">
            <v>83.81</v>
          </cell>
          <cell r="P123">
            <v>15.630000000000003</v>
          </cell>
          <cell r="AI123">
            <v>28.09</v>
          </cell>
          <cell r="AJ123">
            <v>3.3000000000000003</v>
          </cell>
          <cell r="AW123">
            <v>7.99</v>
          </cell>
          <cell r="AZ123">
            <v>12.9</v>
          </cell>
          <cell r="BC123">
            <v>0.26</v>
          </cell>
        </row>
        <row r="124">
          <cell r="D124">
            <v>97.47</v>
          </cell>
          <cell r="P124">
            <v>21.389999999999997</v>
          </cell>
          <cell r="AI124">
            <v>61.2</v>
          </cell>
          <cell r="AJ124">
            <v>6.24</v>
          </cell>
          <cell r="AW124">
            <v>37.49</v>
          </cell>
          <cell r="AZ124">
            <v>10.38</v>
          </cell>
          <cell r="BC124">
            <v>0.47000000000000003</v>
          </cell>
        </row>
        <row r="125">
          <cell r="D125">
            <v>88.529999999999987</v>
          </cell>
          <cell r="P125">
            <v>27.119999999999997</v>
          </cell>
          <cell r="AI125">
            <v>45.29</v>
          </cell>
          <cell r="AJ125">
            <v>4.2300000000000004</v>
          </cell>
          <cell r="AW125">
            <v>21.03</v>
          </cell>
          <cell r="AZ125">
            <v>16.29</v>
          </cell>
          <cell r="BC125">
            <v>0.18</v>
          </cell>
        </row>
        <row r="126">
          <cell r="D126">
            <v>53.23</v>
          </cell>
          <cell r="P126">
            <v>38.830999999999989</v>
          </cell>
          <cell r="AI126">
            <v>69.540999999999997</v>
          </cell>
          <cell r="AJ126">
            <v>3.2610000000000001</v>
          </cell>
          <cell r="AW126">
            <v>55.17</v>
          </cell>
          <cell r="AZ126">
            <v>9.2100000000000009</v>
          </cell>
          <cell r="BC126">
            <v>0.36</v>
          </cell>
        </row>
        <row r="127">
          <cell r="D127">
            <v>43.93</v>
          </cell>
          <cell r="P127">
            <v>29.712999999999994</v>
          </cell>
          <cell r="AI127">
            <v>78.040000000000006</v>
          </cell>
          <cell r="AJ127">
            <v>6.66</v>
          </cell>
          <cell r="AW127">
            <v>47.72</v>
          </cell>
          <cell r="AZ127">
            <v>17.53</v>
          </cell>
          <cell r="BC127">
            <v>0.73</v>
          </cell>
        </row>
        <row r="128">
          <cell r="D128">
            <v>60.32</v>
          </cell>
          <cell r="P128">
            <v>20.982000000000003</v>
          </cell>
          <cell r="AI128">
            <v>87.88000000000001</v>
          </cell>
          <cell r="AJ128">
            <v>3.1799999999999997</v>
          </cell>
          <cell r="AW128">
            <v>58.11</v>
          </cell>
          <cell r="AZ128">
            <v>18.39</v>
          </cell>
          <cell r="BC128">
            <v>0.35</v>
          </cell>
        </row>
        <row r="129">
          <cell r="D129">
            <v>63.04999999999999</v>
          </cell>
          <cell r="P129">
            <v>19.470000000000002</v>
          </cell>
          <cell r="AI129">
            <v>39.909999999999997</v>
          </cell>
          <cell r="AJ129">
            <v>7.7899999999999991</v>
          </cell>
          <cell r="AW129">
            <v>17.96</v>
          </cell>
          <cell r="AZ129">
            <v>10.14</v>
          </cell>
          <cell r="BC129">
            <v>0.42</v>
          </cell>
        </row>
        <row r="130">
          <cell r="D130">
            <v>40.769999999999996</v>
          </cell>
          <cell r="P130">
            <v>20.309999999999999</v>
          </cell>
          <cell r="AI130">
            <v>60.280000000000008</v>
          </cell>
          <cell r="AJ130">
            <v>9.0300000000000011</v>
          </cell>
          <cell r="AW130">
            <v>33.270000000000003</v>
          </cell>
          <cell r="AZ130">
            <v>13.85</v>
          </cell>
          <cell r="BC130">
            <v>0.86</v>
          </cell>
        </row>
        <row r="131">
          <cell r="D131">
            <v>44.830000000000005</v>
          </cell>
          <cell r="P131">
            <v>15.139999999999997</v>
          </cell>
          <cell r="AI131">
            <v>61.5</v>
          </cell>
          <cell r="AJ131">
            <v>9.1</v>
          </cell>
          <cell r="AW131">
            <v>32.71</v>
          </cell>
          <cell r="AZ131">
            <v>13.94</v>
          </cell>
          <cell r="BC131">
            <v>0.34</v>
          </cell>
        </row>
        <row r="132">
          <cell r="D132">
            <v>73.210000000000008</v>
          </cell>
          <cell r="P132">
            <v>10.350999999999999</v>
          </cell>
          <cell r="AI132">
            <v>56.023000000000003</v>
          </cell>
          <cell r="AJ132">
            <v>6.3730000000000002</v>
          </cell>
          <cell r="AW132">
            <v>26.06</v>
          </cell>
          <cell r="AZ132">
            <v>15.28</v>
          </cell>
          <cell r="BC132">
            <v>0.27</v>
          </cell>
        </row>
        <row r="133">
          <cell r="D133">
            <v>65.510000000000005</v>
          </cell>
          <cell r="P133">
            <v>10.875</v>
          </cell>
          <cell r="AI133">
            <v>42.650000000000006</v>
          </cell>
          <cell r="AJ133">
            <v>4.3000000000000007</v>
          </cell>
          <cell r="AW133">
            <v>15.7</v>
          </cell>
          <cell r="AZ133">
            <v>15.55</v>
          </cell>
          <cell r="BC133">
            <v>0.26</v>
          </cell>
        </row>
        <row r="134">
          <cell r="D134">
            <v>67.14</v>
          </cell>
          <cell r="P134">
            <v>15.878</v>
          </cell>
          <cell r="AI134">
            <v>45.597999999999999</v>
          </cell>
          <cell r="AJ134">
            <v>5.8480000000000008</v>
          </cell>
          <cell r="AW134">
            <v>23.44</v>
          </cell>
          <cell r="AZ134">
            <v>13.43</v>
          </cell>
          <cell r="BC134">
            <v>0.26</v>
          </cell>
        </row>
        <row r="135">
          <cell r="D135">
            <v>85.039999999999992</v>
          </cell>
          <cell r="P135">
            <v>18.701999999999998</v>
          </cell>
          <cell r="AI135">
            <v>39.790999999999997</v>
          </cell>
          <cell r="AJ135">
            <v>6.0409999999999995</v>
          </cell>
          <cell r="AW135">
            <v>11.73</v>
          </cell>
          <cell r="AZ135">
            <v>16.95</v>
          </cell>
          <cell r="BC135">
            <v>0.26</v>
          </cell>
        </row>
        <row r="136">
          <cell r="D136">
            <v>105.1</v>
          </cell>
          <cell r="P136">
            <v>25.910000000000004</v>
          </cell>
          <cell r="AI136">
            <v>38.51</v>
          </cell>
          <cell r="AJ136">
            <v>4.46</v>
          </cell>
          <cell r="AW136">
            <v>16.04</v>
          </cell>
          <cell r="AZ136">
            <v>15.879999999999999</v>
          </cell>
          <cell r="BC136">
            <v>0.23</v>
          </cell>
        </row>
        <row r="137">
          <cell r="D137">
            <v>107.66000000000001</v>
          </cell>
          <cell r="P137">
            <v>25.360000000000007</v>
          </cell>
          <cell r="AI137">
            <v>27.660999999999994</v>
          </cell>
          <cell r="AJ137">
            <v>2.7610000000000001</v>
          </cell>
          <cell r="AW137">
            <v>13.37</v>
          </cell>
          <cell r="AZ137">
            <v>10.53</v>
          </cell>
          <cell r="BC137">
            <v>0.12</v>
          </cell>
        </row>
        <row r="138">
          <cell r="D138">
            <v>44.17</v>
          </cell>
          <cell r="P138">
            <v>27.232000000000003</v>
          </cell>
          <cell r="AI138">
            <v>40.759</v>
          </cell>
          <cell r="AJ138">
            <v>3.9589999999999996</v>
          </cell>
          <cell r="AW138">
            <v>13.03</v>
          </cell>
          <cell r="AZ138">
            <v>20.75</v>
          </cell>
          <cell r="BC138">
            <v>0.1</v>
          </cell>
        </row>
        <row r="139">
          <cell r="D139">
            <v>45.75</v>
          </cell>
          <cell r="P139">
            <v>14.291</v>
          </cell>
          <cell r="AI139">
            <v>52.539999999999992</v>
          </cell>
          <cell r="AJ139">
            <v>4.6999999999999993</v>
          </cell>
          <cell r="AW139">
            <v>35.299999999999997</v>
          </cell>
          <cell r="AZ139">
            <v>11.72</v>
          </cell>
          <cell r="BC139">
            <v>0.12</v>
          </cell>
        </row>
        <row r="140">
          <cell r="D140">
            <v>64.350000000000009</v>
          </cell>
          <cell r="P140">
            <v>10.170999999999999</v>
          </cell>
          <cell r="AI140">
            <v>46.787999999999997</v>
          </cell>
          <cell r="AJ140">
            <v>3.9580000000000002</v>
          </cell>
          <cell r="AW140">
            <v>26.29</v>
          </cell>
          <cell r="AZ140">
            <v>14.870000000000001</v>
          </cell>
          <cell r="BC140">
            <v>0.18</v>
          </cell>
        </row>
        <row r="141">
          <cell r="D141">
            <v>93.550000000000011</v>
          </cell>
          <cell r="P141">
            <v>15.929999999999998</v>
          </cell>
          <cell r="AI141">
            <v>71.210000000000008</v>
          </cell>
          <cell r="AJ141">
            <v>16.600000000000001</v>
          </cell>
          <cell r="AW141">
            <v>12.22</v>
          </cell>
          <cell r="AZ141">
            <v>15.350000000000001</v>
          </cell>
          <cell r="BC141">
            <v>0.46</v>
          </cell>
        </row>
        <row r="142">
          <cell r="D142">
            <v>81.92</v>
          </cell>
          <cell r="P142">
            <v>8.0699999999999985</v>
          </cell>
          <cell r="AI142">
            <v>48.849999999999994</v>
          </cell>
          <cell r="AJ142">
            <v>11.21</v>
          </cell>
          <cell r="AW142">
            <v>19.54</v>
          </cell>
          <cell r="AZ142">
            <v>9.16</v>
          </cell>
          <cell r="BC142">
            <v>0.42</v>
          </cell>
        </row>
        <row r="143">
          <cell r="D143">
            <v>89.65</v>
          </cell>
          <cell r="P143">
            <v>8.3999999999999986</v>
          </cell>
          <cell r="AI143">
            <v>47.189999999999991</v>
          </cell>
          <cell r="AJ143">
            <v>9.2799999999999994</v>
          </cell>
          <cell r="AW143">
            <v>23.02</v>
          </cell>
          <cell r="AZ143">
            <v>9.26</v>
          </cell>
          <cell r="BC143">
            <v>0.38</v>
          </cell>
        </row>
        <row r="144">
          <cell r="D144">
            <v>59.97</v>
          </cell>
          <cell r="P144">
            <v>8.33</v>
          </cell>
          <cell r="AI144">
            <v>62.289999999999992</v>
          </cell>
          <cell r="AJ144">
            <v>8.65</v>
          </cell>
          <cell r="AW144">
            <v>27.68</v>
          </cell>
          <cell r="AZ144">
            <v>17.95</v>
          </cell>
          <cell r="BC144">
            <v>7.0000000000000007E-2</v>
          </cell>
        </row>
        <row r="145">
          <cell r="D145">
            <v>87.65</v>
          </cell>
          <cell r="P145">
            <v>9.3400000000000016</v>
          </cell>
          <cell r="AI145">
            <v>48.989999999999995</v>
          </cell>
          <cell r="AJ145">
            <v>7.2499999999999991</v>
          </cell>
          <cell r="AW145">
            <v>17.61</v>
          </cell>
          <cell r="AZ145">
            <v>17.09</v>
          </cell>
          <cell r="BC145">
            <v>0.11</v>
          </cell>
        </row>
        <row r="146">
          <cell r="D146">
            <v>84.38</v>
          </cell>
          <cell r="P146">
            <v>12.224</v>
          </cell>
          <cell r="AI146">
            <v>57.84</v>
          </cell>
          <cell r="AJ146">
            <v>7.66</v>
          </cell>
          <cell r="AW146">
            <v>26.89</v>
          </cell>
          <cell r="AZ146">
            <v>17.25</v>
          </cell>
          <cell r="BC146">
            <v>0.03</v>
          </cell>
        </row>
        <row r="147">
          <cell r="D147">
            <v>92.399999999999991</v>
          </cell>
          <cell r="P147">
            <v>13.999999999999998</v>
          </cell>
          <cell r="AI147">
            <v>49.71</v>
          </cell>
          <cell r="AJ147">
            <v>5.5500000000000007</v>
          </cell>
          <cell r="AW147">
            <v>18.95</v>
          </cell>
          <cell r="AZ147">
            <v>21.07</v>
          </cell>
          <cell r="BC147">
            <v>7.0000000000000007E-2</v>
          </cell>
        </row>
        <row r="148">
          <cell r="D148">
            <v>106.52</v>
          </cell>
          <cell r="P148">
            <v>21.693999999999999</v>
          </cell>
          <cell r="AI148">
            <v>46.05</v>
          </cell>
          <cell r="AJ148">
            <v>4.7300000000000004</v>
          </cell>
          <cell r="AW148">
            <v>19.760000000000002</v>
          </cell>
          <cell r="AZ148">
            <v>19.02</v>
          </cell>
          <cell r="BC148">
            <v>0.01</v>
          </cell>
        </row>
        <row r="149">
          <cell r="D149">
            <v>102.92</v>
          </cell>
          <cell r="P149">
            <v>27.710000000000004</v>
          </cell>
          <cell r="AI149">
            <v>39.11</v>
          </cell>
          <cell r="AJ149">
            <v>3.12</v>
          </cell>
          <cell r="AW149">
            <v>18.329999999999998</v>
          </cell>
          <cell r="AZ149">
            <v>15.5</v>
          </cell>
          <cell r="BC149">
            <v>0.04</v>
          </cell>
        </row>
        <row r="150">
          <cell r="D150">
            <v>57.230000000000004</v>
          </cell>
          <cell r="P150">
            <v>29.699999999999996</v>
          </cell>
          <cell r="AI150">
            <v>99.73</v>
          </cell>
          <cell r="AJ150">
            <v>4.2899999999999991</v>
          </cell>
          <cell r="AW150">
            <v>76.25</v>
          </cell>
          <cell r="AZ150">
            <v>16.810000000000002</v>
          </cell>
          <cell r="BC150">
            <v>0.09</v>
          </cell>
        </row>
        <row r="151">
          <cell r="D151">
            <v>45.89</v>
          </cell>
          <cell r="P151">
            <v>23.290000000000003</v>
          </cell>
          <cell r="AI151">
            <v>81</v>
          </cell>
          <cell r="AJ151">
            <v>4.6100000000000003</v>
          </cell>
          <cell r="AW151">
            <v>56.08</v>
          </cell>
          <cell r="AZ151">
            <v>17.79</v>
          </cell>
          <cell r="BC151">
            <v>0.15</v>
          </cell>
        </row>
        <row r="152">
          <cell r="D152">
            <v>70.970000000000013</v>
          </cell>
          <cell r="P152">
            <v>15.579999999999997</v>
          </cell>
          <cell r="AI152">
            <v>124.89000000000001</v>
          </cell>
          <cell r="AJ152">
            <v>4.1399999999999997</v>
          </cell>
          <cell r="AW152">
            <v>94.67</v>
          </cell>
          <cell r="AZ152">
            <v>23.990000000000002</v>
          </cell>
          <cell r="BC152">
            <v>0.15</v>
          </cell>
        </row>
        <row r="153">
          <cell r="D153">
            <v>99.360000000000014</v>
          </cell>
          <cell r="P153">
            <v>15.379999999999999</v>
          </cell>
          <cell r="AI153">
            <v>48.15</v>
          </cell>
          <cell r="AJ153">
            <v>12.1</v>
          </cell>
          <cell r="AW153">
            <v>13.8</v>
          </cell>
          <cell r="AZ153">
            <v>20.439999999999998</v>
          </cell>
          <cell r="BC153">
            <v>0.28999999999999998</v>
          </cell>
        </row>
        <row r="154">
          <cell r="D154">
            <v>75.509999999999991</v>
          </cell>
          <cell r="P154">
            <v>7.0869999999999989</v>
          </cell>
          <cell r="AI154">
            <v>40.729999999999997</v>
          </cell>
          <cell r="AJ154">
            <v>8.19</v>
          </cell>
          <cell r="AW154">
            <v>17.489999999999998</v>
          </cell>
          <cell r="AZ154">
            <v>13.04</v>
          </cell>
          <cell r="BC154">
            <v>0.33</v>
          </cell>
        </row>
        <row r="155">
          <cell r="D155">
            <v>92.9</v>
          </cell>
          <cell r="P155">
            <v>8.166999999999998</v>
          </cell>
          <cell r="AI155">
            <v>47.029999999999994</v>
          </cell>
          <cell r="AJ155">
            <v>7.3500000000000005</v>
          </cell>
          <cell r="AW155">
            <v>18.079999999999998</v>
          </cell>
          <cell r="AZ155">
            <v>16.759999999999998</v>
          </cell>
          <cell r="BC155">
            <v>0.43</v>
          </cell>
        </row>
        <row r="156">
          <cell r="D156">
            <v>61.05</v>
          </cell>
          <cell r="P156">
            <v>7.6899999999999986</v>
          </cell>
          <cell r="AI156">
            <v>62.39</v>
          </cell>
          <cell r="AJ156">
            <v>4.8500000000000005</v>
          </cell>
          <cell r="AW156">
            <v>32.72</v>
          </cell>
          <cell r="AZ156">
            <v>17.700000000000003</v>
          </cell>
          <cell r="BC156">
            <v>0.08</v>
          </cell>
        </row>
        <row r="157">
          <cell r="D157">
            <v>80.259999999999991</v>
          </cell>
          <cell r="P157">
            <v>8.7539999999999978</v>
          </cell>
          <cell r="AI157">
            <v>45.480000000000004</v>
          </cell>
          <cell r="AJ157">
            <v>4.68</v>
          </cell>
          <cell r="AW157">
            <v>14.43</v>
          </cell>
          <cell r="AZ157">
            <v>18.790000000000003</v>
          </cell>
          <cell r="BC157">
            <v>0.09</v>
          </cell>
        </row>
        <row r="158">
          <cell r="D158">
            <v>80.36</v>
          </cell>
          <cell r="P158">
            <v>13.29</v>
          </cell>
          <cell r="AI158">
            <v>59.25</v>
          </cell>
          <cell r="AJ158">
            <v>4.3600000000000003</v>
          </cell>
          <cell r="AW158">
            <v>30.8</v>
          </cell>
          <cell r="AZ158">
            <v>19.68</v>
          </cell>
          <cell r="BC158">
            <v>0.04</v>
          </cell>
        </row>
        <row r="159">
          <cell r="D159">
            <v>116.15</v>
          </cell>
          <cell r="P159">
            <v>132.4</v>
          </cell>
          <cell r="AI159">
            <v>46.42</v>
          </cell>
          <cell r="AJ159">
            <v>3.31</v>
          </cell>
          <cell r="AW159">
            <v>7.69</v>
          </cell>
          <cell r="AZ159">
            <v>34.85</v>
          </cell>
          <cell r="BC159">
            <v>0.11</v>
          </cell>
        </row>
        <row r="160">
          <cell r="D160">
            <v>103.22</v>
          </cell>
          <cell r="P160">
            <v>33.444000000000003</v>
          </cell>
          <cell r="AI160">
            <v>106.52000000000001</v>
          </cell>
          <cell r="AJ160">
            <v>2.3199999999999998</v>
          </cell>
          <cell r="AW160">
            <v>67.2</v>
          </cell>
          <cell r="AZ160">
            <v>36.18</v>
          </cell>
          <cell r="BC160">
            <v>2.0299999999999998</v>
          </cell>
        </row>
        <row r="161">
          <cell r="D161">
            <v>104.8</v>
          </cell>
          <cell r="P161">
            <v>28.911999999999995</v>
          </cell>
          <cell r="AI161">
            <v>63.539000000000001</v>
          </cell>
          <cell r="AJ161">
            <v>2.569</v>
          </cell>
          <cell r="AW161">
            <v>32.42</v>
          </cell>
          <cell r="AZ161">
            <v>25.75</v>
          </cell>
          <cell r="BC161">
            <v>7.0000000000000007E-2</v>
          </cell>
        </row>
        <row r="162">
          <cell r="D162">
            <v>76.350000000000009</v>
          </cell>
          <cell r="P162">
            <v>31.823</v>
          </cell>
          <cell r="AI162">
            <v>77.59</v>
          </cell>
          <cell r="AJ162">
            <v>2.1</v>
          </cell>
          <cell r="AW162">
            <v>34.01</v>
          </cell>
          <cell r="AZ162">
            <v>34.269999999999996</v>
          </cell>
          <cell r="BC162">
            <v>7.0000000000000007E-2</v>
          </cell>
        </row>
        <row r="163">
          <cell r="D163">
            <v>18.73</v>
          </cell>
          <cell r="P163">
            <v>10.985000000000001</v>
          </cell>
          <cell r="AI163">
            <v>13.899999999999999</v>
          </cell>
          <cell r="AJ163">
            <v>1.7</v>
          </cell>
          <cell r="AW163">
            <v>1.67</v>
          </cell>
          <cell r="AZ163">
            <v>9.09</v>
          </cell>
          <cell r="BC163">
            <v>0.2</v>
          </cell>
        </row>
        <row r="164">
          <cell r="D164">
            <v>19.73</v>
          </cell>
          <cell r="P164">
            <v>11.569999999999999</v>
          </cell>
          <cell r="AI164">
            <v>10.835999999999999</v>
          </cell>
          <cell r="AJ164">
            <v>0.8859999999999999</v>
          </cell>
          <cell r="AW164">
            <v>3.06</v>
          </cell>
          <cell r="AZ164">
            <v>5.5299999999999994</v>
          </cell>
          <cell r="BC164">
            <v>0.17</v>
          </cell>
        </row>
        <row r="165">
          <cell r="D165">
            <v>6.69</v>
          </cell>
          <cell r="P165">
            <v>1.9700000000000002</v>
          </cell>
          <cell r="AI165">
            <v>8.82</v>
          </cell>
          <cell r="AJ165">
            <v>1.73</v>
          </cell>
          <cell r="AW165">
            <v>1.2</v>
          </cell>
          <cell r="AZ165">
            <v>3.91</v>
          </cell>
          <cell r="BC165">
            <v>0.02</v>
          </cell>
        </row>
        <row r="166">
          <cell r="D166">
            <v>2.7800000000000002</v>
          </cell>
          <cell r="P166">
            <v>2.1</v>
          </cell>
          <cell r="AI166">
            <v>7.6</v>
          </cell>
          <cell r="AJ166">
            <v>1.86</v>
          </cell>
          <cell r="AW166">
            <v>2</v>
          </cell>
          <cell r="AZ166">
            <v>2.1</v>
          </cell>
          <cell r="BC166">
            <v>0.04</v>
          </cell>
        </row>
        <row r="167">
          <cell r="D167">
            <v>8.1</v>
          </cell>
          <cell r="P167">
            <v>3.8599999999999994</v>
          </cell>
          <cell r="AI167">
            <v>13.82</v>
          </cell>
          <cell r="AJ167">
            <v>2.4</v>
          </cell>
          <cell r="AW167">
            <v>4.5999999999999996</v>
          </cell>
          <cell r="AZ167">
            <v>3.94</v>
          </cell>
          <cell r="BC167">
            <v>0.1</v>
          </cell>
        </row>
        <row r="168">
          <cell r="D168">
            <v>18.22</v>
          </cell>
          <cell r="P168">
            <v>4.49</v>
          </cell>
          <cell r="AI168">
            <v>37.379999999999995</v>
          </cell>
          <cell r="AJ168">
            <v>4.0599999999999996</v>
          </cell>
          <cell r="AW168">
            <v>16.489999999999998</v>
          </cell>
          <cell r="AZ168">
            <v>10.25</v>
          </cell>
          <cell r="BC168">
            <v>0.06</v>
          </cell>
        </row>
        <row r="169">
          <cell r="D169">
            <v>22.54</v>
          </cell>
          <cell r="P169">
            <v>10.039999999999999</v>
          </cell>
          <cell r="AI169">
            <v>24.150000000000002</v>
          </cell>
          <cell r="AJ169">
            <v>2.6399999999999997</v>
          </cell>
          <cell r="AW169">
            <v>2.4</v>
          </cell>
          <cell r="AZ169">
            <v>13.23</v>
          </cell>
          <cell r="BC169">
            <v>0.09</v>
          </cell>
        </row>
        <row r="170">
          <cell r="D170">
            <v>46.41</v>
          </cell>
          <cell r="P170">
            <v>9.5399999999999991</v>
          </cell>
          <cell r="AI170">
            <v>41.349999999999994</v>
          </cell>
          <cell r="AJ170">
            <v>4.34</v>
          </cell>
          <cell r="AW170">
            <v>11</v>
          </cell>
          <cell r="AZ170">
            <v>23.009999999999998</v>
          </cell>
          <cell r="BC170">
            <v>0.24</v>
          </cell>
        </row>
        <row r="171">
          <cell r="D171">
            <v>45.269999999999996</v>
          </cell>
          <cell r="P171">
            <v>11.66</v>
          </cell>
          <cell r="AI171">
            <v>9.2800000000000011</v>
          </cell>
          <cell r="AJ171">
            <v>2.82</v>
          </cell>
          <cell r="AW171">
            <v>2.7</v>
          </cell>
          <cell r="AZ171">
            <v>1.1400000000000001</v>
          </cell>
          <cell r="BC171">
            <v>0.1</v>
          </cell>
        </row>
        <row r="172">
          <cell r="D172">
            <v>49.47</v>
          </cell>
          <cell r="P172">
            <v>14.150000000000002</v>
          </cell>
          <cell r="AI172">
            <v>17.909999999999997</v>
          </cell>
          <cell r="AJ172">
            <v>2.08</v>
          </cell>
          <cell r="AW172">
            <v>7.56</v>
          </cell>
          <cell r="AZ172">
            <v>7.17</v>
          </cell>
          <cell r="BC172">
            <v>0.06</v>
          </cell>
        </row>
        <row r="173">
          <cell r="D173">
            <v>37.03</v>
          </cell>
          <cell r="P173">
            <v>18.099999999999998</v>
          </cell>
          <cell r="AI173">
            <v>25.79</v>
          </cell>
          <cell r="AJ173">
            <v>3.23</v>
          </cell>
          <cell r="AW173">
            <v>14.44</v>
          </cell>
          <cell r="AZ173">
            <v>7.1899999999999995</v>
          </cell>
          <cell r="BC173">
            <v>0.05</v>
          </cell>
        </row>
        <row r="174">
          <cell r="D174">
            <v>30.24</v>
          </cell>
          <cell r="P174">
            <v>11.75</v>
          </cell>
          <cell r="AI174">
            <v>51.72</v>
          </cell>
          <cell r="AJ174">
            <v>19.7</v>
          </cell>
          <cell r="AW174">
            <v>17</v>
          </cell>
          <cell r="AZ174">
            <v>11.34</v>
          </cell>
          <cell r="BC174">
            <v>0</v>
          </cell>
        </row>
        <row r="175">
          <cell r="D175">
            <v>25.64</v>
          </cell>
          <cell r="P175">
            <v>15.120000000000001</v>
          </cell>
          <cell r="AI175">
            <v>52.91</v>
          </cell>
          <cell r="AJ175">
            <v>16.170000000000002</v>
          </cell>
          <cell r="AW175">
            <v>20.71</v>
          </cell>
          <cell r="AZ175">
            <v>9.7799999999999994</v>
          </cell>
          <cell r="BC175">
            <v>0.01</v>
          </cell>
        </row>
        <row r="176">
          <cell r="D176">
            <v>28.929999999999996</v>
          </cell>
          <cell r="P176">
            <v>11.469999999999999</v>
          </cell>
          <cell r="AI176">
            <v>210.3</v>
          </cell>
          <cell r="AJ176">
            <v>34.33</v>
          </cell>
          <cell r="AW176">
            <v>93.72</v>
          </cell>
          <cell r="AZ176">
            <v>78.23</v>
          </cell>
          <cell r="BC176">
            <v>0.02</v>
          </cell>
        </row>
        <row r="177">
          <cell r="D177">
            <v>305.10000000000008</v>
          </cell>
          <cell r="P177">
            <v>9.5500000000000007</v>
          </cell>
          <cell r="AI177">
            <v>552.17999999999995</v>
          </cell>
          <cell r="AJ177">
            <v>38.449999999999996</v>
          </cell>
          <cell r="AW177">
            <v>390.65</v>
          </cell>
          <cell r="AZ177">
            <v>122.26</v>
          </cell>
          <cell r="BC177">
            <v>0.02</v>
          </cell>
        </row>
        <row r="178">
          <cell r="D178">
            <v>307.87</v>
          </cell>
          <cell r="P178">
            <v>3.9499999999999993</v>
          </cell>
          <cell r="AI178">
            <v>242.52999999999997</v>
          </cell>
          <cell r="AJ178">
            <v>33.089999999999996</v>
          </cell>
          <cell r="AW178">
            <v>95.05</v>
          </cell>
          <cell r="AZ178">
            <v>105.67</v>
          </cell>
          <cell r="BC178">
            <v>0</v>
          </cell>
        </row>
        <row r="179">
          <cell r="D179">
            <v>292.92</v>
          </cell>
          <cell r="P179">
            <v>8.472999999999999</v>
          </cell>
          <cell r="AI179">
            <v>182.26</v>
          </cell>
          <cell r="AJ179">
            <v>20.209999999999997</v>
          </cell>
          <cell r="AW179">
            <v>64.83</v>
          </cell>
          <cell r="AZ179">
            <v>88.740000000000009</v>
          </cell>
          <cell r="BC179">
            <v>0</v>
          </cell>
        </row>
        <row r="180">
          <cell r="D180">
            <v>25.230000000000004</v>
          </cell>
          <cell r="P180">
            <v>3.8599999999999994</v>
          </cell>
          <cell r="AI180">
            <v>17.600000000000001</v>
          </cell>
          <cell r="AJ180">
            <v>1.96</v>
          </cell>
          <cell r="AW180">
            <v>8.6</v>
          </cell>
          <cell r="AZ180">
            <v>6.5</v>
          </cell>
          <cell r="BC180">
            <v>0.04</v>
          </cell>
        </row>
        <row r="181">
          <cell r="D181">
            <v>35.96</v>
          </cell>
          <cell r="P181">
            <v>7.9699999999999989</v>
          </cell>
          <cell r="AI181">
            <v>50.71</v>
          </cell>
          <cell r="AJ181">
            <v>2.4599999999999995</v>
          </cell>
          <cell r="AW181">
            <v>33</v>
          </cell>
          <cell r="AZ181">
            <v>13.4</v>
          </cell>
          <cell r="BC181">
            <v>0.04</v>
          </cell>
        </row>
        <row r="182">
          <cell r="D182">
            <v>15.86</v>
          </cell>
          <cell r="P182">
            <v>4.3899999999999997</v>
          </cell>
          <cell r="AI182">
            <v>23.910000000000004</v>
          </cell>
          <cell r="AJ182">
            <v>0.85</v>
          </cell>
          <cell r="AW182">
            <v>17</v>
          </cell>
          <cell r="AZ182">
            <v>5.4</v>
          </cell>
          <cell r="BC182">
            <v>0.01</v>
          </cell>
        </row>
        <row r="183">
          <cell r="D183">
            <v>17.369999999999997</v>
          </cell>
          <cell r="P183">
            <v>8.129999999999999</v>
          </cell>
          <cell r="AI183">
            <v>19.279999999999998</v>
          </cell>
          <cell r="AJ183">
            <v>2.25</v>
          </cell>
          <cell r="AW183">
            <v>7.49</v>
          </cell>
          <cell r="AZ183">
            <v>7.89</v>
          </cell>
          <cell r="BC183">
            <v>0</v>
          </cell>
        </row>
        <row r="184">
          <cell r="D184">
            <v>21.49</v>
          </cell>
          <cell r="P184">
            <v>11.33</v>
          </cell>
          <cell r="AI184">
            <v>80.48</v>
          </cell>
          <cell r="AJ184">
            <v>2.39</v>
          </cell>
          <cell r="AW184">
            <v>65.05</v>
          </cell>
          <cell r="AZ184">
            <v>11.870000000000001</v>
          </cell>
          <cell r="BC184">
            <v>0</v>
          </cell>
        </row>
        <row r="185">
          <cell r="D185">
            <v>19.189999999999998</v>
          </cell>
          <cell r="P185">
            <v>8.35</v>
          </cell>
          <cell r="AI185">
            <v>36.56</v>
          </cell>
          <cell r="AJ185">
            <v>1.51</v>
          </cell>
          <cell r="AW185">
            <v>26</v>
          </cell>
          <cell r="AZ185">
            <v>7.99</v>
          </cell>
          <cell r="BC185">
            <v>0.06</v>
          </cell>
        </row>
        <row r="186">
          <cell r="D186">
            <v>19.04</v>
          </cell>
          <cell r="P186">
            <v>10.23</v>
          </cell>
          <cell r="AI186">
            <v>96.86999999999999</v>
          </cell>
          <cell r="AJ186">
            <v>1.83</v>
          </cell>
          <cell r="AW186">
            <v>82.08</v>
          </cell>
          <cell r="AZ186">
            <v>11.49</v>
          </cell>
          <cell r="BC186">
            <v>0.06</v>
          </cell>
        </row>
        <row r="187">
          <cell r="D187">
            <v>16.600000000000001</v>
          </cell>
          <cell r="P187">
            <v>8.0599999999999987</v>
          </cell>
          <cell r="AI187">
            <v>76.7</v>
          </cell>
          <cell r="AJ187">
            <v>1.41</v>
          </cell>
          <cell r="AW187">
            <v>61.04</v>
          </cell>
          <cell r="AZ187">
            <v>7.2</v>
          </cell>
          <cell r="BC187">
            <v>0.04</v>
          </cell>
        </row>
        <row r="188">
          <cell r="D188">
            <v>53.69</v>
          </cell>
          <cell r="P188">
            <v>5.62</v>
          </cell>
          <cell r="AI188">
            <v>73.91</v>
          </cell>
          <cell r="AJ188">
            <v>1.8800000000000001</v>
          </cell>
          <cell r="AW188">
            <v>63.06</v>
          </cell>
          <cell r="AZ188">
            <v>5.74</v>
          </cell>
          <cell r="BC188">
            <v>0.05</v>
          </cell>
        </row>
        <row r="189">
          <cell r="D189">
            <v>29.810000000000002</v>
          </cell>
          <cell r="P189">
            <v>9.6100000000000012</v>
          </cell>
          <cell r="AI189">
            <v>85.27000000000001</v>
          </cell>
          <cell r="AJ189">
            <v>4.37</v>
          </cell>
          <cell r="AW189">
            <v>65.17</v>
          </cell>
          <cell r="AZ189">
            <v>13.15</v>
          </cell>
          <cell r="BC189">
            <v>0.12</v>
          </cell>
        </row>
        <row r="190">
          <cell r="D190">
            <v>29.439999999999994</v>
          </cell>
          <cell r="P190">
            <v>7.99</v>
          </cell>
          <cell r="AI190">
            <v>54.27</v>
          </cell>
          <cell r="AJ190">
            <v>3.7399999999999998</v>
          </cell>
          <cell r="AW190">
            <v>35.090000000000003</v>
          </cell>
          <cell r="AZ190">
            <v>13</v>
          </cell>
          <cell r="BC190">
            <v>0.08</v>
          </cell>
        </row>
        <row r="191">
          <cell r="D191">
            <v>30.07</v>
          </cell>
          <cell r="P191">
            <v>9.91</v>
          </cell>
          <cell r="AI191">
            <v>77.25</v>
          </cell>
          <cell r="AJ191">
            <v>6.68</v>
          </cell>
          <cell r="AW191">
            <v>52.22</v>
          </cell>
          <cell r="AZ191">
            <v>15.77</v>
          </cell>
          <cell r="BC191">
            <v>7.0000000000000007E-2</v>
          </cell>
        </row>
        <row r="192">
          <cell r="D192">
            <v>33.549999999999997</v>
          </cell>
          <cell r="P192">
            <v>6.1099999999999994</v>
          </cell>
          <cell r="AI192">
            <v>61.61</v>
          </cell>
          <cell r="AJ192">
            <v>4</v>
          </cell>
          <cell r="AW192">
            <v>50.2</v>
          </cell>
          <cell r="AZ192">
            <v>6.3</v>
          </cell>
          <cell r="BC192">
            <v>0.05</v>
          </cell>
        </row>
        <row r="193">
          <cell r="D193">
            <v>42.22</v>
          </cell>
          <cell r="P193">
            <v>10.125</v>
          </cell>
          <cell r="AI193">
            <v>91.39</v>
          </cell>
          <cell r="AJ193">
            <v>3.0300000000000002</v>
          </cell>
          <cell r="AW193">
            <v>76.040000000000006</v>
          </cell>
          <cell r="AZ193">
            <v>10.85</v>
          </cell>
          <cell r="BC193">
            <v>0.06</v>
          </cell>
        </row>
        <row r="194">
          <cell r="D194">
            <v>33.269999999999996</v>
          </cell>
          <cell r="P194">
            <v>13.599999999999998</v>
          </cell>
          <cell r="AI194">
            <v>45.100000000000009</v>
          </cell>
          <cell r="AJ194">
            <v>2.5299999999999998</v>
          </cell>
          <cell r="AW194">
            <v>25.01</v>
          </cell>
          <cell r="AZ194">
            <v>16.350000000000001</v>
          </cell>
          <cell r="BC194">
            <v>0.15</v>
          </cell>
        </row>
        <row r="195">
          <cell r="D195">
            <v>43.999999999999993</v>
          </cell>
          <cell r="P195">
            <v>20.549999999999997</v>
          </cell>
          <cell r="AI195">
            <v>44.510000000000005</v>
          </cell>
          <cell r="AJ195">
            <v>0.76</v>
          </cell>
          <cell r="AW195">
            <v>26.02</v>
          </cell>
          <cell r="AZ195">
            <v>16.95</v>
          </cell>
          <cell r="BC195">
            <v>7.0000000000000007E-2</v>
          </cell>
        </row>
        <row r="196">
          <cell r="D196">
            <v>52.39</v>
          </cell>
          <cell r="P196">
            <v>24.249999999999993</v>
          </cell>
          <cell r="AI196">
            <v>42.65</v>
          </cell>
          <cell r="AJ196">
            <v>0.75</v>
          </cell>
          <cell r="AW196">
            <v>24.93</v>
          </cell>
          <cell r="AZ196">
            <v>15.41</v>
          </cell>
          <cell r="BC196">
            <v>0.08</v>
          </cell>
        </row>
        <row r="197">
          <cell r="D197">
            <v>40.74</v>
          </cell>
          <cell r="P197">
            <v>24.210000000000004</v>
          </cell>
          <cell r="AI197">
            <v>57.64</v>
          </cell>
          <cell r="AJ197">
            <v>1.46</v>
          </cell>
          <cell r="AW197">
            <v>40</v>
          </cell>
          <cell r="AZ197">
            <v>15.129999999999999</v>
          </cell>
          <cell r="BC197">
            <v>0.08</v>
          </cell>
        </row>
        <row r="198">
          <cell r="D198"/>
          <cell r="P198"/>
          <cell r="AI198"/>
          <cell r="AJ198"/>
          <cell r="AW198"/>
          <cell r="AZ198"/>
          <cell r="BC198"/>
        </row>
        <row r="199">
          <cell r="D199">
            <v>171.20999999999998</v>
          </cell>
          <cell r="P199">
            <v>43.64</v>
          </cell>
          <cell r="AI199">
            <v>356.4</v>
          </cell>
          <cell r="AJ199">
            <v>3.56</v>
          </cell>
          <cell r="AW199">
            <v>324.37</v>
          </cell>
          <cell r="AZ199">
            <v>22.08</v>
          </cell>
          <cell r="BC199">
            <v>7.0000000000000007E-2</v>
          </cell>
        </row>
        <row r="200">
          <cell r="D200">
            <v>164.48</v>
          </cell>
          <cell r="P200">
            <v>50.269999999999996</v>
          </cell>
          <cell r="AI200">
            <v>468.1</v>
          </cell>
          <cell r="AJ200">
            <v>3.6599999999999997</v>
          </cell>
          <cell r="AW200">
            <v>420.8</v>
          </cell>
          <cell r="AZ200">
            <v>34.18</v>
          </cell>
          <cell r="BC200">
            <v>0.3</v>
          </cell>
        </row>
        <row r="201">
          <cell r="D201">
            <v>144</v>
          </cell>
          <cell r="P201">
            <v>26.02</v>
          </cell>
          <cell r="AI201">
            <v>97.95</v>
          </cell>
          <cell r="AJ201">
            <v>9.3500000000000014</v>
          </cell>
          <cell r="AW201">
            <v>48.769999999999996</v>
          </cell>
          <cell r="AZ201">
            <v>33.659999999999997</v>
          </cell>
          <cell r="BC201">
            <v>0.24000000000000002</v>
          </cell>
        </row>
        <row r="202">
          <cell r="D202">
            <v>153.24</v>
          </cell>
          <cell r="P202">
            <v>39.909999999999997</v>
          </cell>
          <cell r="AI202">
            <v>68.069999999999993</v>
          </cell>
          <cell r="AJ202">
            <v>11.410000000000002</v>
          </cell>
          <cell r="AW202">
            <v>32.36</v>
          </cell>
          <cell r="AZ202">
            <v>19.78</v>
          </cell>
          <cell r="BC202">
            <v>0.2</v>
          </cell>
        </row>
        <row r="203">
          <cell r="D203">
            <v>174.51999999999998</v>
          </cell>
          <cell r="P203">
            <v>22.089999999999996</v>
          </cell>
          <cell r="AI203">
            <v>223.96000000000004</v>
          </cell>
          <cell r="AJ203">
            <v>8.0399999999999991</v>
          </cell>
          <cell r="AW203">
            <v>186.69</v>
          </cell>
          <cell r="AZ203">
            <v>25.17</v>
          </cell>
          <cell r="BC203">
            <v>0.28000000000000003</v>
          </cell>
        </row>
        <row r="204">
          <cell r="D204">
            <v>123.49</v>
          </cell>
          <cell r="P204">
            <v>21.339999999999996</v>
          </cell>
          <cell r="AI204">
            <v>94.44</v>
          </cell>
          <cell r="AJ204">
            <v>8.58</v>
          </cell>
          <cell r="AW204">
            <v>36.86</v>
          </cell>
          <cell r="AZ204">
            <v>39.099999999999994</v>
          </cell>
          <cell r="BC204">
            <v>0.26</v>
          </cell>
        </row>
        <row r="205">
          <cell r="D205">
            <v>148.75</v>
          </cell>
          <cell r="P205">
            <v>27.939999999999998</v>
          </cell>
          <cell r="AI205">
            <v>94.42</v>
          </cell>
          <cell r="AJ205">
            <v>4.55</v>
          </cell>
          <cell r="AW205">
            <v>42.71</v>
          </cell>
          <cell r="AZ205">
            <v>35.78</v>
          </cell>
          <cell r="BC205">
            <v>0.47</v>
          </cell>
        </row>
        <row r="206">
          <cell r="D206">
            <v>120.75999999999999</v>
          </cell>
          <cell r="P206">
            <v>28.889999999999997</v>
          </cell>
          <cell r="AI206">
            <v>85.990000000000009</v>
          </cell>
          <cell r="AJ206">
            <v>3.35</v>
          </cell>
          <cell r="AW206">
            <v>41.85</v>
          </cell>
          <cell r="AZ206">
            <v>31.47</v>
          </cell>
          <cell r="BC206">
            <v>0.36</v>
          </cell>
        </row>
        <row r="207">
          <cell r="D207">
            <v>110.58000000000001</v>
          </cell>
          <cell r="P207">
            <v>29.259999999999998</v>
          </cell>
          <cell r="AI207">
            <v>56</v>
          </cell>
          <cell r="AJ207">
            <v>5</v>
          </cell>
          <cell r="AW207">
            <v>20.440000000000001</v>
          </cell>
          <cell r="AZ207">
            <v>27.080000000000002</v>
          </cell>
          <cell r="BC207">
            <v>0.18</v>
          </cell>
        </row>
        <row r="208">
          <cell r="D208">
            <v>86.100000000000009</v>
          </cell>
          <cell r="P208">
            <v>27.619999999999994</v>
          </cell>
          <cell r="AI208">
            <v>73.69</v>
          </cell>
          <cell r="AJ208">
            <v>5.7800000000000011</v>
          </cell>
          <cell r="AW208">
            <v>43.35</v>
          </cell>
          <cell r="AZ208">
            <v>23.33</v>
          </cell>
          <cell r="BC208">
            <v>9.0000000000000011E-2</v>
          </cell>
        </row>
        <row r="209">
          <cell r="D209">
            <v>85.84</v>
          </cell>
          <cell r="P209">
            <v>43.260000000000005</v>
          </cell>
          <cell r="AI209">
            <v>66.52</v>
          </cell>
          <cell r="AJ209">
            <v>5.25</v>
          </cell>
          <cell r="AW209">
            <v>19.86</v>
          </cell>
          <cell r="AZ209">
            <v>36.46</v>
          </cell>
          <cell r="BC209">
            <v>0.1</v>
          </cell>
        </row>
        <row r="210">
          <cell r="D210">
            <v>83.91</v>
          </cell>
          <cell r="P210">
            <v>46.71</v>
          </cell>
          <cell r="AI210">
            <v>83.589999999999989</v>
          </cell>
          <cell r="AJ210">
            <v>3.61</v>
          </cell>
          <cell r="AW210">
            <v>33.03</v>
          </cell>
          <cell r="AZ210">
            <v>40.98</v>
          </cell>
          <cell r="BC210">
            <v>0.17</v>
          </cell>
        </row>
        <row r="211">
          <cell r="D211">
            <v>73.63</v>
          </cell>
          <cell r="P211">
            <v>45.050000000000004</v>
          </cell>
          <cell r="AI211">
            <v>93.21</v>
          </cell>
          <cell r="AJ211">
            <v>3.2800000000000002</v>
          </cell>
          <cell r="AW211">
            <v>47.96</v>
          </cell>
          <cell r="AZ211">
            <v>25.98</v>
          </cell>
          <cell r="BC211">
            <v>0.08</v>
          </cell>
        </row>
        <row r="212">
          <cell r="D212">
            <v>64.570000000000007</v>
          </cell>
          <cell r="P212">
            <v>38.270000000000003</v>
          </cell>
          <cell r="AI212">
            <v>87.960000000000008</v>
          </cell>
          <cell r="AJ212">
            <v>3.6399999999999997</v>
          </cell>
          <cell r="AW212">
            <v>43.57</v>
          </cell>
          <cell r="AZ212">
            <v>29.810000000000002</v>
          </cell>
          <cell r="BC212">
            <v>0.1</v>
          </cell>
        </row>
        <row r="213">
          <cell r="D213">
            <v>65.62</v>
          </cell>
          <cell r="P213">
            <v>16.28</v>
          </cell>
          <cell r="AI213">
            <v>69.790000000000006</v>
          </cell>
          <cell r="AJ213">
            <v>7.5100000000000007</v>
          </cell>
          <cell r="AW213">
            <v>25.42</v>
          </cell>
          <cell r="AZ213">
            <v>30.66</v>
          </cell>
          <cell r="BC213">
            <v>0.28000000000000003</v>
          </cell>
        </row>
        <row r="214">
          <cell r="D214">
            <v>54.78</v>
          </cell>
          <cell r="P214">
            <v>14.32</v>
          </cell>
          <cell r="AI214">
            <v>80.39</v>
          </cell>
          <cell r="AJ214">
            <v>7.2499999999999982</v>
          </cell>
          <cell r="AW214">
            <v>45.64</v>
          </cell>
          <cell r="AZ214">
            <v>22.259999999999998</v>
          </cell>
          <cell r="BC214">
            <v>0.28000000000000003</v>
          </cell>
        </row>
        <row r="215">
          <cell r="D215">
            <v>71.570000000000007</v>
          </cell>
          <cell r="P215">
            <v>12.489999999999998</v>
          </cell>
          <cell r="AI215">
            <v>101.41</v>
          </cell>
          <cell r="AJ215">
            <v>5.0999999999999996</v>
          </cell>
          <cell r="AW215">
            <v>67.62</v>
          </cell>
          <cell r="AZ215">
            <v>24.75</v>
          </cell>
          <cell r="BC215">
            <v>0.19</v>
          </cell>
        </row>
        <row r="216">
          <cell r="D216">
            <v>78.919999999999987</v>
          </cell>
          <cell r="P216">
            <v>12.469999999999999</v>
          </cell>
          <cell r="AI216">
            <v>81.17</v>
          </cell>
          <cell r="AJ216">
            <v>4.08</v>
          </cell>
          <cell r="AW216">
            <v>38.230000000000004</v>
          </cell>
          <cell r="AZ216">
            <v>34.35</v>
          </cell>
          <cell r="BC216">
            <v>0.43000000000000005</v>
          </cell>
        </row>
        <row r="217">
          <cell r="D217">
            <v>77.890000000000015</v>
          </cell>
          <cell r="P217">
            <v>11.669999999999998</v>
          </cell>
          <cell r="AI217">
            <v>72.259999999999991</v>
          </cell>
          <cell r="AJ217">
            <v>3.5</v>
          </cell>
          <cell r="AW217">
            <v>36.700000000000003</v>
          </cell>
          <cell r="AZ217">
            <v>28.04</v>
          </cell>
          <cell r="BC217">
            <v>0.43000000000000005</v>
          </cell>
        </row>
        <row r="218">
          <cell r="D218">
            <v>87.8</v>
          </cell>
          <cell r="P218">
            <v>16.490000000000002</v>
          </cell>
          <cell r="AI218">
            <v>90.95</v>
          </cell>
          <cell r="AJ218">
            <v>3.51</v>
          </cell>
          <cell r="AW218">
            <v>54.320000000000007</v>
          </cell>
          <cell r="AZ218">
            <v>28.79</v>
          </cell>
          <cell r="BC218">
            <v>0.64999999999999991</v>
          </cell>
        </row>
        <row r="219">
          <cell r="D219">
            <v>215.06</v>
          </cell>
          <cell r="P219">
            <v>30.5</v>
          </cell>
          <cell r="AI219">
            <v>107.32</v>
          </cell>
          <cell r="AJ219">
            <v>2.6399999999999997</v>
          </cell>
          <cell r="AW219">
            <v>42.81</v>
          </cell>
          <cell r="AZ219">
            <v>57.1</v>
          </cell>
          <cell r="BC219">
            <v>1.01</v>
          </cell>
        </row>
        <row r="220">
          <cell r="D220">
            <v>198.92000000000002</v>
          </cell>
          <cell r="P220">
            <v>39.909999999999997</v>
          </cell>
          <cell r="AI220">
            <v>105.66</v>
          </cell>
          <cell r="AJ220">
            <v>2.31</v>
          </cell>
          <cell r="AW220">
            <v>43.709999999999994</v>
          </cell>
          <cell r="AZ220">
            <v>53.790000000000006</v>
          </cell>
          <cell r="BC220">
            <v>0.74</v>
          </cell>
        </row>
        <row r="221">
          <cell r="D221">
            <v>213.72</v>
          </cell>
          <cell r="P221">
            <v>52.670000000000009</v>
          </cell>
          <cell r="AI221">
            <v>107.98</v>
          </cell>
          <cell r="AJ221">
            <v>2.73</v>
          </cell>
          <cell r="AW221">
            <v>56.519999999999996</v>
          </cell>
          <cell r="AZ221">
            <v>44.42</v>
          </cell>
          <cell r="BC221">
            <v>0.67999999999999994</v>
          </cell>
        </row>
        <row r="222">
          <cell r="D222">
            <v>210.12</v>
          </cell>
          <cell r="P222">
            <v>57.31</v>
          </cell>
          <cell r="AI222">
            <v>195.07</v>
          </cell>
          <cell r="AJ222">
            <v>6.5399999999999991</v>
          </cell>
          <cell r="AW222">
            <v>136.26999999999998</v>
          </cell>
          <cell r="AZ222">
            <v>40.090000000000003</v>
          </cell>
          <cell r="BC222">
            <v>0.45</v>
          </cell>
        </row>
        <row r="223">
          <cell r="D223">
            <v>188.32</v>
          </cell>
          <cell r="P223">
            <v>73.150000000000006</v>
          </cell>
          <cell r="AI223">
            <v>223.62</v>
          </cell>
          <cell r="AJ223">
            <v>6.4600000000000009</v>
          </cell>
          <cell r="AW223">
            <v>145.65</v>
          </cell>
          <cell r="AZ223">
            <v>50.59</v>
          </cell>
          <cell r="BC223">
            <v>0.77</v>
          </cell>
        </row>
        <row r="224">
          <cell r="D224">
            <v>119.06</v>
          </cell>
          <cell r="P224">
            <v>63.03</v>
          </cell>
          <cell r="AI224">
            <v>156.19</v>
          </cell>
          <cell r="AJ224">
            <v>7.3800000000000008</v>
          </cell>
          <cell r="AW224">
            <v>84.72</v>
          </cell>
          <cell r="AZ224">
            <v>46.25</v>
          </cell>
          <cell r="BC224">
            <v>1.07</v>
          </cell>
        </row>
        <row r="225">
          <cell r="D225">
            <v>177.31</v>
          </cell>
          <cell r="P225">
            <v>67.832999999999998</v>
          </cell>
          <cell r="AI225">
            <v>125.69</v>
          </cell>
          <cell r="AJ225">
            <v>11.46</v>
          </cell>
          <cell r="AW225">
            <v>52.21</v>
          </cell>
          <cell r="AZ225">
            <v>42.71</v>
          </cell>
          <cell r="BC225">
            <v>0.52</v>
          </cell>
        </row>
        <row r="226">
          <cell r="D226">
            <v>188.23999999999998</v>
          </cell>
          <cell r="P226">
            <v>41.829999999999991</v>
          </cell>
          <cell r="AI226">
            <v>116.28</v>
          </cell>
          <cell r="AJ226">
            <v>12.889999999999999</v>
          </cell>
          <cell r="AW226">
            <v>34.769999999999996</v>
          </cell>
          <cell r="AZ226">
            <v>51.209999999999994</v>
          </cell>
          <cell r="BC226">
            <v>0.68</v>
          </cell>
        </row>
        <row r="227">
          <cell r="D227">
            <v>180.63</v>
          </cell>
          <cell r="P227">
            <v>23.823</v>
          </cell>
          <cell r="AI227">
            <v>143.97</v>
          </cell>
          <cell r="AJ227">
            <v>8.8999999999999986</v>
          </cell>
          <cell r="AW227">
            <v>62.339999999999996</v>
          </cell>
          <cell r="AZ227">
            <v>58.1</v>
          </cell>
          <cell r="BC227">
            <v>0.47000000000000003</v>
          </cell>
        </row>
        <row r="228">
          <cell r="D228">
            <v>180.94</v>
          </cell>
          <cell r="P228">
            <v>11.904999999999999</v>
          </cell>
          <cell r="AI228">
            <v>89.09</v>
          </cell>
          <cell r="AJ228">
            <v>6.65</v>
          </cell>
          <cell r="AW228">
            <v>48.46</v>
          </cell>
          <cell r="AZ228">
            <v>30.19</v>
          </cell>
          <cell r="BC228">
            <v>0.21000000000000002</v>
          </cell>
        </row>
        <row r="229">
          <cell r="D229">
            <v>177.72</v>
          </cell>
          <cell r="P229">
            <v>14.922999999999998</v>
          </cell>
          <cell r="AI229">
            <v>64.72</v>
          </cell>
          <cell r="AJ229">
            <v>5.4</v>
          </cell>
          <cell r="AW229">
            <v>26.63</v>
          </cell>
          <cell r="AZ229">
            <v>29.42</v>
          </cell>
          <cell r="BC229">
            <v>0.11</v>
          </cell>
        </row>
        <row r="230">
          <cell r="D230">
            <v>235.07</v>
          </cell>
          <cell r="P230">
            <v>15.689999999999998</v>
          </cell>
          <cell r="AI230">
            <v>69.19</v>
          </cell>
          <cell r="AJ230">
            <v>5.34</v>
          </cell>
          <cell r="AW230">
            <v>22.53</v>
          </cell>
          <cell r="AZ230">
            <v>38.370000000000005</v>
          </cell>
          <cell r="BC230">
            <v>0.12</v>
          </cell>
        </row>
        <row r="231">
          <cell r="D231">
            <v>116.92</v>
          </cell>
          <cell r="P231">
            <v>15.220000000000002</v>
          </cell>
          <cell r="AI231">
            <v>69.899999999999991</v>
          </cell>
          <cell r="AJ231">
            <v>3.1900000000000004</v>
          </cell>
          <cell r="AW231">
            <v>35.33</v>
          </cell>
          <cell r="AZ231">
            <v>30.529999999999998</v>
          </cell>
          <cell r="BC231">
            <v>0.13</v>
          </cell>
        </row>
        <row r="232">
          <cell r="D232">
            <v>145.44999999999999</v>
          </cell>
          <cell r="P232">
            <v>15.143999999999998</v>
          </cell>
          <cell r="AI232">
            <v>72.42</v>
          </cell>
          <cell r="AJ232">
            <v>3.46</v>
          </cell>
          <cell r="AW232">
            <v>33.879999999999995</v>
          </cell>
          <cell r="AZ232">
            <v>34.130000000000003</v>
          </cell>
          <cell r="BC232">
            <v>0.11</v>
          </cell>
        </row>
        <row r="233">
          <cell r="D233">
            <v>166.72</v>
          </cell>
          <cell r="P233">
            <v>25.232000000000003</v>
          </cell>
          <cell r="AI233">
            <v>51.578999999999994</v>
          </cell>
          <cell r="AJ233">
            <v>3.72</v>
          </cell>
          <cell r="AW233">
            <v>24.82</v>
          </cell>
          <cell r="AZ233">
            <v>20.98</v>
          </cell>
          <cell r="BC233">
            <v>0.03</v>
          </cell>
        </row>
        <row r="234">
          <cell r="D234">
            <v>77.889999999999986</v>
          </cell>
          <cell r="P234">
            <v>12.059999999999999</v>
          </cell>
          <cell r="AI234">
            <v>100.47</v>
          </cell>
          <cell r="AJ234">
            <v>2.62</v>
          </cell>
          <cell r="AW234">
            <v>67.97999999999999</v>
          </cell>
          <cell r="AZ234">
            <v>26.909999999999997</v>
          </cell>
          <cell r="BC234">
            <v>0.22999999999999998</v>
          </cell>
        </row>
        <row r="235">
          <cell r="D235">
            <v>62.7</v>
          </cell>
          <cell r="P235">
            <v>12.79</v>
          </cell>
          <cell r="AI235">
            <v>130.88499999999999</v>
          </cell>
          <cell r="AJ235">
            <v>2.11</v>
          </cell>
          <cell r="AW235">
            <v>95.63</v>
          </cell>
          <cell r="AZ235">
            <v>26.15</v>
          </cell>
          <cell r="BC235">
            <v>0.13</v>
          </cell>
        </row>
        <row r="236">
          <cell r="D236">
            <v>79.010000000000005</v>
          </cell>
          <cell r="P236">
            <v>17.009999999999998</v>
          </cell>
          <cell r="AI236">
            <v>109.03999999999999</v>
          </cell>
          <cell r="AJ236">
            <v>4.66</v>
          </cell>
          <cell r="AW236">
            <v>76.06</v>
          </cell>
          <cell r="AZ236">
            <v>19.29</v>
          </cell>
          <cell r="BC236">
            <v>0.13</v>
          </cell>
        </row>
        <row r="237">
          <cell r="D237">
            <v>139.69999999999999</v>
          </cell>
          <cell r="P237">
            <v>53.812000000000012</v>
          </cell>
          <cell r="AI237">
            <v>97.81</v>
          </cell>
          <cell r="AJ237">
            <v>12.87</v>
          </cell>
          <cell r="AW237">
            <v>37.840000000000003</v>
          </cell>
          <cell r="AZ237">
            <v>39.61</v>
          </cell>
          <cell r="BC237">
            <v>0.28999999999999998</v>
          </cell>
        </row>
        <row r="238">
          <cell r="D238">
            <v>140.66</v>
          </cell>
          <cell r="P238">
            <v>35.680000000000007</v>
          </cell>
          <cell r="AI238">
            <v>89.100000000000009</v>
          </cell>
          <cell r="AJ238">
            <v>13.170000000000002</v>
          </cell>
          <cell r="AW238">
            <v>24.92</v>
          </cell>
          <cell r="AZ238">
            <v>42.2</v>
          </cell>
          <cell r="BC238">
            <v>0.35</v>
          </cell>
        </row>
        <row r="239">
          <cell r="D239">
            <v>140.51000000000002</v>
          </cell>
          <cell r="P239">
            <v>22.152999999999999</v>
          </cell>
          <cell r="AI239">
            <v>112.28</v>
          </cell>
          <cell r="AJ239">
            <v>10.990000000000002</v>
          </cell>
          <cell r="AW239">
            <v>45.42</v>
          </cell>
          <cell r="AZ239">
            <v>43.5</v>
          </cell>
          <cell r="BC239">
            <v>0.19</v>
          </cell>
        </row>
        <row r="240">
          <cell r="D240">
            <v>188.81</v>
          </cell>
          <cell r="P240">
            <v>16.378999999999998</v>
          </cell>
          <cell r="AI240">
            <v>90.93</v>
          </cell>
          <cell r="AJ240">
            <v>14.170000000000002</v>
          </cell>
          <cell r="AW240">
            <v>31.770000000000003</v>
          </cell>
          <cell r="AZ240">
            <v>37.49</v>
          </cell>
          <cell r="BC240">
            <v>0.30000000000000004</v>
          </cell>
        </row>
        <row r="241">
          <cell r="D241">
            <v>227.57999999999998</v>
          </cell>
          <cell r="P241">
            <v>24.53</v>
          </cell>
          <cell r="AI241">
            <v>114.78999999999999</v>
          </cell>
          <cell r="AJ241">
            <v>13.13</v>
          </cell>
          <cell r="AW241">
            <v>49.14</v>
          </cell>
          <cell r="AZ241">
            <v>43.3</v>
          </cell>
          <cell r="BC241">
            <v>0.32</v>
          </cell>
        </row>
        <row r="242">
          <cell r="D242">
            <v>270.75</v>
          </cell>
          <cell r="P242">
            <v>22.835999999999999</v>
          </cell>
          <cell r="AI242">
            <v>114.29</v>
          </cell>
          <cell r="AJ242">
            <v>11.36</v>
          </cell>
          <cell r="AW242">
            <v>39.97</v>
          </cell>
          <cell r="AZ242">
            <v>50.620000000000005</v>
          </cell>
          <cell r="BC242">
            <v>0.4</v>
          </cell>
        </row>
        <row r="243">
          <cell r="D243">
            <v>211.8</v>
          </cell>
          <cell r="P243">
            <v>23.806000000000001</v>
          </cell>
          <cell r="AI243">
            <v>150.82</v>
          </cell>
          <cell r="AJ243">
            <v>8.01</v>
          </cell>
          <cell r="AW243">
            <v>52.879999999999995</v>
          </cell>
          <cell r="AZ243">
            <v>85.95</v>
          </cell>
          <cell r="BC243">
            <v>0.08</v>
          </cell>
        </row>
        <row r="244">
          <cell r="D244">
            <v>179.84</v>
          </cell>
          <cell r="P244">
            <v>27.396999999999998</v>
          </cell>
          <cell r="AI244">
            <v>122.00999999999999</v>
          </cell>
          <cell r="AJ244">
            <v>9.43</v>
          </cell>
          <cell r="AW244">
            <v>67.98</v>
          </cell>
          <cell r="AZ244">
            <v>38.35</v>
          </cell>
          <cell r="BC244">
            <v>0.14000000000000001</v>
          </cell>
        </row>
        <row r="245">
          <cell r="D245">
            <v>200.59000000000003</v>
          </cell>
          <cell r="P245">
            <v>30.141999999999999</v>
          </cell>
          <cell r="AI245">
            <v>86.85</v>
          </cell>
          <cell r="AJ245">
            <v>6.33</v>
          </cell>
          <cell r="AW245">
            <v>46.36</v>
          </cell>
          <cell r="AZ245">
            <v>27.47</v>
          </cell>
          <cell r="BC245">
            <v>0.1</v>
          </cell>
        </row>
        <row r="246">
          <cell r="D246">
            <v>103.03</v>
          </cell>
          <cell r="P246">
            <v>41.53</v>
          </cell>
          <cell r="AI246">
            <v>154.203</v>
          </cell>
          <cell r="AJ246">
            <v>8.0100000000000016</v>
          </cell>
          <cell r="AW246">
            <v>110.77</v>
          </cell>
          <cell r="AZ246">
            <v>28.52</v>
          </cell>
          <cell r="BC246">
            <v>0.04</v>
          </cell>
        </row>
        <row r="247">
          <cell r="D247">
            <v>163.21999999999997</v>
          </cell>
          <cell r="P247">
            <v>55.670000000000009</v>
          </cell>
          <cell r="AI247">
            <v>200.02199999999999</v>
          </cell>
          <cell r="AJ247">
            <v>10.67</v>
          </cell>
          <cell r="AW247">
            <v>134.82</v>
          </cell>
          <cell r="AZ247">
            <v>29.570000000000004</v>
          </cell>
          <cell r="BC247">
            <v>0.18</v>
          </cell>
        </row>
        <row r="248">
          <cell r="D248">
            <v>104.75</v>
          </cell>
          <cell r="P248">
            <v>22.826000000000001</v>
          </cell>
          <cell r="AI248">
            <v>136.34</v>
          </cell>
          <cell r="AJ248">
            <v>7.09</v>
          </cell>
          <cell r="AW248">
            <v>95.009999999999991</v>
          </cell>
          <cell r="AZ248">
            <v>16.829999999999998</v>
          </cell>
          <cell r="BC248">
            <v>0.12</v>
          </cell>
        </row>
        <row r="249">
          <cell r="D249">
            <v>91.17</v>
          </cell>
          <cell r="P249">
            <v>15.579999999999998</v>
          </cell>
          <cell r="AI249">
            <v>122.66</v>
          </cell>
          <cell r="AJ249">
            <v>5.78</v>
          </cell>
          <cell r="AW249">
            <v>82.32</v>
          </cell>
          <cell r="AZ249">
            <v>19.63</v>
          </cell>
          <cell r="BC249">
            <v>0.14000000000000001</v>
          </cell>
        </row>
        <row r="250">
          <cell r="D250">
            <v>128.6</v>
          </cell>
          <cell r="P250">
            <v>11.57</v>
          </cell>
          <cell r="AI250">
            <v>127.55799999999999</v>
          </cell>
          <cell r="AJ250">
            <v>7.7799999999999994</v>
          </cell>
          <cell r="AW250">
            <v>75.58</v>
          </cell>
          <cell r="AZ250">
            <v>31.95</v>
          </cell>
          <cell r="BC250">
            <v>0.13</v>
          </cell>
        </row>
        <row r="251">
          <cell r="D251">
            <v>117.80000000000001</v>
          </cell>
          <cell r="P251">
            <v>13.77</v>
          </cell>
          <cell r="AI251">
            <v>124.63</v>
          </cell>
          <cell r="AJ251">
            <v>8.5500000000000007</v>
          </cell>
          <cell r="AW251">
            <v>55.309999999999995</v>
          </cell>
          <cell r="AZ251">
            <v>46.54</v>
          </cell>
          <cell r="BC251">
            <v>9.0000000000000011E-2</v>
          </cell>
        </row>
        <row r="252">
          <cell r="D252">
            <v>173.02999999999997</v>
          </cell>
          <cell r="P252">
            <v>13.817999999999998</v>
          </cell>
          <cell r="AI252">
            <v>140.04299999999998</v>
          </cell>
          <cell r="AJ252">
            <v>21.59</v>
          </cell>
          <cell r="AW252">
            <v>56.22</v>
          </cell>
          <cell r="AZ252">
            <v>48.379999999999995</v>
          </cell>
          <cell r="BC252">
            <v>0.18</v>
          </cell>
        </row>
        <row r="253">
          <cell r="D253">
            <v>217.48000000000002</v>
          </cell>
          <cell r="P253">
            <v>19.644000000000002</v>
          </cell>
          <cell r="AI253">
            <v>164.41199999999998</v>
          </cell>
          <cell r="AJ253">
            <v>15.13</v>
          </cell>
          <cell r="AW253">
            <v>81.25</v>
          </cell>
          <cell r="AZ253">
            <v>53.08</v>
          </cell>
          <cell r="BC253">
            <v>0.21000000000000002</v>
          </cell>
        </row>
        <row r="254">
          <cell r="D254">
            <v>244.64999999999998</v>
          </cell>
          <cell r="P254">
            <v>19.089999999999996</v>
          </cell>
          <cell r="AI254">
            <v>133.41899999999998</v>
          </cell>
          <cell r="AJ254">
            <v>14.86</v>
          </cell>
          <cell r="AW254">
            <v>39.68</v>
          </cell>
          <cell r="AZ254">
            <v>65.740000000000009</v>
          </cell>
          <cell r="BC254">
            <v>0.27</v>
          </cell>
        </row>
        <row r="255">
          <cell r="D255">
            <v>186.35999999999999</v>
          </cell>
          <cell r="P255">
            <v>24.046999999999997</v>
          </cell>
          <cell r="AI255">
            <v>117.88</v>
          </cell>
          <cell r="AJ255">
            <v>12.010000000000002</v>
          </cell>
          <cell r="AW255">
            <v>53.8</v>
          </cell>
          <cell r="AZ255">
            <v>45.72</v>
          </cell>
          <cell r="BC255">
            <v>0.19</v>
          </cell>
        </row>
        <row r="256">
          <cell r="D256">
            <v>181.61</v>
          </cell>
          <cell r="P256">
            <v>24.823</v>
          </cell>
          <cell r="AI256">
            <v>77.779999999999987</v>
          </cell>
          <cell r="AJ256">
            <v>9.32</v>
          </cell>
          <cell r="AW256">
            <v>21.75</v>
          </cell>
          <cell r="AZ256">
            <v>42.3</v>
          </cell>
          <cell r="BC256">
            <v>0.11</v>
          </cell>
        </row>
        <row r="257">
          <cell r="D257">
            <v>186.60000000000002</v>
          </cell>
          <cell r="P257">
            <v>30.512999999999998</v>
          </cell>
          <cell r="AI257">
            <v>128.13999999999999</v>
          </cell>
          <cell r="AJ257">
            <v>10.59</v>
          </cell>
          <cell r="AW257">
            <v>68.959999999999994</v>
          </cell>
          <cell r="AZ257">
            <v>44.260000000000005</v>
          </cell>
          <cell r="BC257">
            <v>0.21000000000000002</v>
          </cell>
        </row>
        <row r="258">
          <cell r="D258">
            <v>128.86000000000001</v>
          </cell>
          <cell r="P258">
            <v>31.626000000000005</v>
          </cell>
          <cell r="AI258">
            <v>100.801</v>
          </cell>
          <cell r="AJ258">
            <v>8.75</v>
          </cell>
          <cell r="AW258">
            <v>50.1</v>
          </cell>
          <cell r="AZ258">
            <v>31.52</v>
          </cell>
          <cell r="BC258">
            <v>0.16</v>
          </cell>
        </row>
        <row r="259">
          <cell r="D259">
            <v>160.79000000000002</v>
          </cell>
          <cell r="P259">
            <v>37.450000000000003</v>
          </cell>
          <cell r="AI259">
            <v>96.411000000000001</v>
          </cell>
          <cell r="AJ259">
            <v>13.740000000000002</v>
          </cell>
          <cell r="AW259">
            <v>40.840000000000003</v>
          </cell>
          <cell r="AZ259">
            <v>33.839999999999996</v>
          </cell>
          <cell r="BC259">
            <v>0.16</v>
          </cell>
        </row>
        <row r="260">
          <cell r="D260">
            <v>127.21</v>
          </cell>
          <cell r="P260">
            <v>28.190999999999995</v>
          </cell>
          <cell r="AI260">
            <v>110.892</v>
          </cell>
          <cell r="AJ260">
            <v>6.3400000000000007</v>
          </cell>
          <cell r="AW260">
            <v>74.150000000000006</v>
          </cell>
          <cell r="AZ260">
            <v>19.880000000000003</v>
          </cell>
          <cell r="BC260">
            <v>0.18</v>
          </cell>
        </row>
        <row r="261">
          <cell r="D261">
            <v>120.97</v>
          </cell>
          <cell r="P261">
            <v>21.864999999999998</v>
          </cell>
          <cell r="AI261">
            <v>132.88999999999999</v>
          </cell>
          <cell r="AJ261">
            <v>16.97</v>
          </cell>
          <cell r="AW261">
            <v>63.78</v>
          </cell>
          <cell r="AZ261">
            <v>38.72</v>
          </cell>
          <cell r="BC261">
            <v>0.22</v>
          </cell>
        </row>
        <row r="262">
          <cell r="D262">
            <v>70.260000000000005</v>
          </cell>
          <cell r="P262">
            <v>15.812999999999995</v>
          </cell>
          <cell r="AI262">
            <v>50.69</v>
          </cell>
          <cell r="AJ262">
            <v>14.750000000000002</v>
          </cell>
          <cell r="AW262">
            <v>11.59</v>
          </cell>
          <cell r="AZ262">
            <v>16.82</v>
          </cell>
          <cell r="BC262">
            <v>0.15000000000000002</v>
          </cell>
        </row>
        <row r="263">
          <cell r="D263">
            <v>71.44</v>
          </cell>
          <cell r="P263">
            <v>20.198999999999995</v>
          </cell>
          <cell r="AI263">
            <v>143.07000000000002</v>
          </cell>
          <cell r="AJ263">
            <v>12.32</v>
          </cell>
          <cell r="AW263">
            <v>96.47</v>
          </cell>
          <cell r="AZ263">
            <v>22.45</v>
          </cell>
          <cell r="BC263">
            <v>0.09</v>
          </cell>
        </row>
        <row r="264">
          <cell r="D264">
            <v>119.81</v>
          </cell>
          <cell r="P264">
            <v>11.843</v>
          </cell>
          <cell r="AI264">
            <v>171.869</v>
          </cell>
          <cell r="AJ264">
            <v>10.77</v>
          </cell>
          <cell r="AW264">
            <v>118.28999999999999</v>
          </cell>
          <cell r="AZ264">
            <v>34.520000000000003</v>
          </cell>
          <cell r="BC264">
            <v>0.3</v>
          </cell>
        </row>
        <row r="265">
          <cell r="D265">
            <v>180.26</v>
          </cell>
          <cell r="P265">
            <v>20.664000000000001</v>
          </cell>
          <cell r="AI265">
            <v>119.145</v>
          </cell>
          <cell r="AJ265">
            <v>17.670000000000002</v>
          </cell>
          <cell r="AW265">
            <v>41.78</v>
          </cell>
          <cell r="AZ265">
            <v>49.879999999999995</v>
          </cell>
          <cell r="BC265">
            <v>0.19</v>
          </cell>
        </row>
        <row r="266">
          <cell r="D266">
            <v>145.01</v>
          </cell>
          <cell r="P266">
            <v>15.646999999999998</v>
          </cell>
          <cell r="AI266">
            <v>74.836999999999989</v>
          </cell>
          <cell r="AJ266">
            <v>12.7</v>
          </cell>
          <cell r="AW266">
            <v>20.03</v>
          </cell>
          <cell r="AZ266">
            <v>32.839999999999996</v>
          </cell>
          <cell r="BC266">
            <v>0.24</v>
          </cell>
        </row>
        <row r="267">
          <cell r="D267">
            <v>127.07999999999998</v>
          </cell>
          <cell r="P267">
            <v>21.586999999999996</v>
          </cell>
          <cell r="AI267">
            <v>80.991</v>
          </cell>
          <cell r="AJ267">
            <v>8.3800000000000008</v>
          </cell>
          <cell r="AW267">
            <v>30.65</v>
          </cell>
          <cell r="AZ267">
            <v>34.97</v>
          </cell>
          <cell r="BC267">
            <v>0.24000000000000002</v>
          </cell>
        </row>
        <row r="268">
          <cell r="D268">
            <v>158.12</v>
          </cell>
          <cell r="P268">
            <v>36.661999999999992</v>
          </cell>
          <cell r="AI268">
            <v>101.014</v>
          </cell>
          <cell r="AJ268">
            <v>12.24</v>
          </cell>
          <cell r="AW268">
            <v>40.14</v>
          </cell>
          <cell r="AZ268">
            <v>38.010000000000005</v>
          </cell>
          <cell r="BC268">
            <v>0.16</v>
          </cell>
        </row>
        <row r="269">
          <cell r="D269">
            <v>122.68</v>
          </cell>
          <cell r="P269">
            <v>38.591000000000001</v>
          </cell>
          <cell r="AI269">
            <v>85.031000000000006</v>
          </cell>
          <cell r="AJ269">
            <v>6.32</v>
          </cell>
          <cell r="AW269">
            <v>45.989999999999995</v>
          </cell>
          <cell r="AZ269">
            <v>24.009999999999998</v>
          </cell>
          <cell r="BC269">
            <v>0.17</v>
          </cell>
        </row>
        <row r="270">
          <cell r="D270">
            <v>83.36</v>
          </cell>
          <cell r="P270">
            <v>81.436000000000007</v>
          </cell>
          <cell r="AI270">
            <v>67.222999999999999</v>
          </cell>
          <cell r="AJ270">
            <v>7.2100000000000009</v>
          </cell>
          <cell r="AW270">
            <v>38.880000000000003</v>
          </cell>
          <cell r="AZ270">
            <v>14.49</v>
          </cell>
          <cell r="BC270">
            <v>0.28000000000000003</v>
          </cell>
        </row>
        <row r="271">
          <cell r="D271">
            <v>67.91</v>
          </cell>
          <cell r="P271">
            <v>62.001000000000005</v>
          </cell>
          <cell r="AI271">
            <v>82.97</v>
          </cell>
          <cell r="AJ271">
            <v>8.6</v>
          </cell>
          <cell r="AW271">
            <v>48.72</v>
          </cell>
          <cell r="AZ271">
            <v>15.4</v>
          </cell>
          <cell r="BC271">
            <v>0.3</v>
          </cell>
        </row>
        <row r="272">
          <cell r="D272">
            <v>74.97</v>
          </cell>
          <cell r="P272">
            <v>30.960999999999999</v>
          </cell>
          <cell r="AI272">
            <v>77.108999999999995</v>
          </cell>
          <cell r="AJ272">
            <v>9.0200000000000014</v>
          </cell>
          <cell r="AW272">
            <v>48.91</v>
          </cell>
          <cell r="AZ272">
            <v>8.67</v>
          </cell>
          <cell r="BC272">
            <v>0.25</v>
          </cell>
        </row>
        <row r="273">
          <cell r="D273">
            <v>106.87</v>
          </cell>
          <cell r="P273">
            <v>26.475000000000001</v>
          </cell>
          <cell r="AI273">
            <v>94.26</v>
          </cell>
          <cell r="AJ273">
            <v>15.53</v>
          </cell>
          <cell r="AW273">
            <v>42.24</v>
          </cell>
          <cell r="AZ273">
            <v>27.779999999999998</v>
          </cell>
          <cell r="BC273">
            <v>0.43</v>
          </cell>
        </row>
        <row r="274">
          <cell r="D274">
            <v>82.71</v>
          </cell>
          <cell r="P274">
            <v>12.404</v>
          </cell>
          <cell r="AI274">
            <v>52.22</v>
          </cell>
          <cell r="AJ274">
            <v>10.93</v>
          </cell>
          <cell r="AW274">
            <v>16.490000000000002</v>
          </cell>
          <cell r="AZ274">
            <v>18.600000000000001</v>
          </cell>
          <cell r="BC274">
            <v>0.37</v>
          </cell>
        </row>
        <row r="275">
          <cell r="D275">
            <v>87.47</v>
          </cell>
          <cell r="P275">
            <v>13.52</v>
          </cell>
          <cell r="AI275">
            <v>81.499999999999986</v>
          </cell>
          <cell r="AJ275">
            <v>8.9600000000000009</v>
          </cell>
          <cell r="AW275">
            <v>35.61</v>
          </cell>
          <cell r="AZ275">
            <v>25.749999999999996</v>
          </cell>
          <cell r="BC275">
            <v>0.28000000000000003</v>
          </cell>
        </row>
        <row r="276">
          <cell r="D276">
            <v>76.63</v>
          </cell>
          <cell r="P276">
            <v>17.427999999999997</v>
          </cell>
          <cell r="AI276">
            <v>102.67000000000002</v>
          </cell>
          <cell r="AJ276">
            <v>7.41</v>
          </cell>
          <cell r="AW276">
            <v>56.63</v>
          </cell>
          <cell r="AZ276">
            <v>27.91</v>
          </cell>
          <cell r="BC276">
            <v>0.28000000000000003</v>
          </cell>
        </row>
        <row r="277">
          <cell r="D277">
            <v>82.26</v>
          </cell>
          <cell r="P277">
            <v>16.274000000000001</v>
          </cell>
          <cell r="AI277">
            <v>57.830000000000005</v>
          </cell>
          <cell r="AJ277">
            <v>3.9899999999999998</v>
          </cell>
          <cell r="AW277">
            <v>36.340000000000003</v>
          </cell>
          <cell r="AZ277">
            <v>9.19</v>
          </cell>
          <cell r="BC277">
            <v>0.27</v>
          </cell>
        </row>
        <row r="278">
          <cell r="D278">
            <v>122.71599999999999</v>
          </cell>
          <cell r="P278">
            <v>25.738999999999997</v>
          </cell>
          <cell r="AI278">
            <v>73.61</v>
          </cell>
          <cell r="AJ278">
            <v>4.83</v>
          </cell>
          <cell r="AW278">
            <v>50.33</v>
          </cell>
          <cell r="AZ278">
            <v>14.07</v>
          </cell>
          <cell r="BC278">
            <v>0.2</v>
          </cell>
        </row>
        <row r="279">
          <cell r="D279">
            <v>141.41</v>
          </cell>
          <cell r="P279">
            <v>39.203000000000003</v>
          </cell>
          <cell r="AI279">
            <v>60.5</v>
          </cell>
          <cell r="AJ279">
            <v>10.600000000000001</v>
          </cell>
          <cell r="AW279">
            <v>29.46</v>
          </cell>
          <cell r="AZ279">
            <v>15.61</v>
          </cell>
          <cell r="BC279">
            <v>0.35</v>
          </cell>
        </row>
        <row r="280">
          <cell r="D280">
            <v>172.74</v>
          </cell>
          <cell r="P280">
            <v>37.925999999999995</v>
          </cell>
          <cell r="AI280">
            <v>51.28</v>
          </cell>
          <cell r="AJ280">
            <v>7.79</v>
          </cell>
          <cell r="AW280">
            <v>31.65</v>
          </cell>
          <cell r="AZ280">
            <v>8.34</v>
          </cell>
          <cell r="BC280">
            <v>0.29000000000000004</v>
          </cell>
        </row>
        <row r="281">
          <cell r="D281">
            <v>157.44</v>
          </cell>
          <cell r="P281">
            <v>36.119</v>
          </cell>
          <cell r="AI281">
            <v>47.36</v>
          </cell>
          <cell r="AJ281">
            <v>8.59</v>
          </cell>
          <cell r="AW281">
            <v>21.35</v>
          </cell>
          <cell r="AZ281">
            <v>13.55</v>
          </cell>
          <cell r="BC281">
            <v>0.19999999999999998</v>
          </cell>
        </row>
        <row r="282">
          <cell r="D282">
            <v>91.6</v>
          </cell>
          <cell r="P282">
            <v>44.756000000000007</v>
          </cell>
          <cell r="AI282">
            <v>60.989999999999995</v>
          </cell>
          <cell r="AJ282">
            <v>6.0799999999999992</v>
          </cell>
          <cell r="AW282">
            <v>39.299999999999997</v>
          </cell>
          <cell r="AZ282">
            <v>9.32</v>
          </cell>
          <cell r="BC282">
            <v>0.13</v>
          </cell>
        </row>
        <row r="283">
          <cell r="D283">
            <v>115.59</v>
          </cell>
          <cell r="P283">
            <v>38.680000000000007</v>
          </cell>
          <cell r="AI283">
            <v>91.28</v>
          </cell>
          <cell r="AJ283">
            <v>8.86</v>
          </cell>
          <cell r="AW283">
            <v>51.64</v>
          </cell>
          <cell r="AZ283">
            <v>16.22</v>
          </cell>
          <cell r="BC283">
            <v>0.28000000000000003</v>
          </cell>
        </row>
        <row r="284">
          <cell r="D284">
            <v>205.27</v>
          </cell>
          <cell r="P284">
            <v>40.113</v>
          </cell>
          <cell r="AI284">
            <v>181.92</v>
          </cell>
          <cell r="AJ284">
            <v>12.759999999999998</v>
          </cell>
          <cell r="AW284">
            <v>117.53</v>
          </cell>
          <cell r="AZ284">
            <v>15.21</v>
          </cell>
          <cell r="BC284">
            <v>0.65999999999999992</v>
          </cell>
        </row>
        <row r="285">
          <cell r="D285">
            <v>43.589999999999996</v>
          </cell>
          <cell r="P285">
            <v>21.221999999999998</v>
          </cell>
          <cell r="AI285">
            <v>172.63</v>
          </cell>
          <cell r="AJ285">
            <v>22.88</v>
          </cell>
          <cell r="AW285">
            <v>121.78999999999999</v>
          </cell>
          <cell r="AZ285">
            <v>17.900000000000002</v>
          </cell>
          <cell r="BC285">
            <v>0.18</v>
          </cell>
        </row>
        <row r="286">
          <cell r="D286">
            <v>50.870000000000005</v>
          </cell>
          <cell r="P286">
            <v>12.926</v>
          </cell>
          <cell r="AI286">
            <v>116.91</v>
          </cell>
          <cell r="AJ286">
            <v>24.130000000000006</v>
          </cell>
          <cell r="AW286">
            <v>61.680000000000007</v>
          </cell>
          <cell r="AZ286">
            <v>20.25</v>
          </cell>
          <cell r="BC286">
            <v>0.15000000000000002</v>
          </cell>
        </row>
        <row r="287">
          <cell r="D287">
            <v>52.86</v>
          </cell>
          <cell r="P287">
            <v>18.573</v>
          </cell>
          <cell r="AI287">
            <v>120.13</v>
          </cell>
          <cell r="AJ287">
            <v>11.120000000000001</v>
          </cell>
          <cell r="AW287">
            <v>78.650000000000006</v>
          </cell>
          <cell r="AZ287">
            <v>24.39</v>
          </cell>
          <cell r="BC287">
            <v>0.11</v>
          </cell>
        </row>
        <row r="288">
          <cell r="D288">
            <v>130.05999999999997</v>
          </cell>
          <cell r="P288">
            <v>24.126000000000005</v>
          </cell>
          <cell r="AI288">
            <v>137.28</v>
          </cell>
          <cell r="AJ288">
            <v>14.180000000000001</v>
          </cell>
          <cell r="AW288">
            <v>88.830000000000013</v>
          </cell>
          <cell r="AZ288">
            <v>16.669999999999998</v>
          </cell>
          <cell r="BC288">
            <v>0.32</v>
          </cell>
        </row>
        <row r="289">
          <cell r="D289">
            <v>141.15</v>
          </cell>
          <cell r="P289">
            <v>25.146999999999998</v>
          </cell>
          <cell r="AI289">
            <v>131.4</v>
          </cell>
          <cell r="AJ289">
            <v>15.9</v>
          </cell>
          <cell r="AW289">
            <v>86.52</v>
          </cell>
          <cell r="AZ289">
            <v>20.790000000000003</v>
          </cell>
          <cell r="BC289">
            <v>0.37</v>
          </cell>
        </row>
        <row r="290">
          <cell r="D290">
            <v>117.40000000000002</v>
          </cell>
          <cell r="P290">
            <v>29.515000000000001</v>
          </cell>
          <cell r="AI290">
            <v>115.36999999999999</v>
          </cell>
          <cell r="AJ290">
            <v>20.7</v>
          </cell>
          <cell r="AW290">
            <v>64.53</v>
          </cell>
          <cell r="AZ290">
            <v>19.009999999999998</v>
          </cell>
          <cell r="BC290">
            <v>0.45999999999999996</v>
          </cell>
        </row>
        <row r="291">
          <cell r="D291">
            <v>153.44</v>
          </cell>
          <cell r="P291">
            <v>46.124000000000009</v>
          </cell>
          <cell r="AI291">
            <v>97.929999999999993</v>
          </cell>
          <cell r="AJ291">
            <v>16.779999999999998</v>
          </cell>
          <cell r="AW291">
            <v>55.27</v>
          </cell>
          <cell r="AZ291">
            <v>15.53</v>
          </cell>
          <cell r="BC291">
            <v>0.56000000000000005</v>
          </cell>
        </row>
        <row r="292">
          <cell r="D292">
            <v>199.85</v>
          </cell>
          <cell r="P292">
            <v>63.72699999999999</v>
          </cell>
          <cell r="AI292">
            <v>131.92000000000002</v>
          </cell>
          <cell r="AJ292">
            <v>21.61</v>
          </cell>
          <cell r="AW292">
            <v>76.14</v>
          </cell>
          <cell r="AZ292">
            <v>21.310000000000002</v>
          </cell>
          <cell r="BC292">
            <v>0.87999999999999989</v>
          </cell>
        </row>
        <row r="293">
          <cell r="D293">
            <v>197.32999999999998</v>
          </cell>
          <cell r="P293">
            <v>68.481999999999999</v>
          </cell>
          <cell r="AI293">
            <v>226.86</v>
          </cell>
          <cell r="AJ293">
            <v>16.639999999999997</v>
          </cell>
          <cell r="AW293">
            <v>151.21</v>
          </cell>
          <cell r="AZ293">
            <v>34.17</v>
          </cell>
          <cell r="BC293">
            <v>0.64</v>
          </cell>
        </row>
        <row r="294">
          <cell r="D294">
            <v>107.58000000000001</v>
          </cell>
          <cell r="P294">
            <v>34.863999999999997</v>
          </cell>
          <cell r="AI294">
            <v>215.85999999999999</v>
          </cell>
          <cell r="AJ294">
            <v>13.239999999999998</v>
          </cell>
          <cell r="AW294">
            <v>166.88</v>
          </cell>
          <cell r="AZ294">
            <v>17.98</v>
          </cell>
          <cell r="BC294">
            <v>0.39</v>
          </cell>
        </row>
        <row r="295">
          <cell r="D295">
            <v>176.53</v>
          </cell>
          <cell r="P295">
            <v>45.684000000000005</v>
          </cell>
          <cell r="AI295">
            <v>420.24</v>
          </cell>
          <cell r="AJ295">
            <v>24.479999999999997</v>
          </cell>
          <cell r="AW295">
            <v>290.95</v>
          </cell>
          <cell r="AZ295">
            <v>81.37</v>
          </cell>
          <cell r="BC295">
            <v>0.56000000000000005</v>
          </cell>
        </row>
        <row r="296">
          <cell r="D296">
            <v>247.47</v>
          </cell>
          <cell r="P296">
            <v>38.706000000000003</v>
          </cell>
          <cell r="AI296">
            <v>444.8</v>
          </cell>
          <cell r="AJ296">
            <v>28.56</v>
          </cell>
          <cell r="AW296">
            <v>349.3</v>
          </cell>
          <cell r="AZ296">
            <v>35.520000000000003</v>
          </cell>
          <cell r="BC296">
            <v>0.84</v>
          </cell>
        </row>
        <row r="297">
          <cell r="D297">
            <v>130.78</v>
          </cell>
          <cell r="P297">
            <v>29.261999999999997</v>
          </cell>
          <cell r="AI297">
            <v>173.76</v>
          </cell>
          <cell r="AJ297">
            <v>25.16</v>
          </cell>
          <cell r="AW297">
            <v>108.42999999999999</v>
          </cell>
          <cell r="AZ297">
            <v>22.3</v>
          </cell>
          <cell r="BC297">
            <v>0.21</v>
          </cell>
        </row>
        <row r="298">
          <cell r="D298">
            <v>87.88</v>
          </cell>
          <cell r="P298">
            <v>18.153000000000006</v>
          </cell>
          <cell r="AI298">
            <v>69.47</v>
          </cell>
          <cell r="AJ298">
            <v>21.029999999999998</v>
          </cell>
          <cell r="AW298">
            <v>25.439999999999998</v>
          </cell>
          <cell r="AZ298">
            <v>16.62</v>
          </cell>
          <cell r="BC298">
            <v>0.32</v>
          </cell>
        </row>
        <row r="299">
          <cell r="D299">
            <v>105.82</v>
          </cell>
          <cell r="P299">
            <v>11.733000000000001</v>
          </cell>
          <cell r="AI299">
            <v>55.51</v>
          </cell>
          <cell r="AJ299">
            <v>7.6000000000000005</v>
          </cell>
          <cell r="AW299">
            <v>28.27</v>
          </cell>
          <cell r="AZ299">
            <v>15.600000000000001</v>
          </cell>
          <cell r="BC299">
            <v>0.16999999999999998</v>
          </cell>
        </row>
        <row r="300">
          <cell r="D300">
            <v>150.24</v>
          </cell>
          <cell r="P300">
            <v>17.959999999999997</v>
          </cell>
          <cell r="AI300">
            <v>79.210000000000008</v>
          </cell>
          <cell r="AJ300">
            <v>2.7800000000000002</v>
          </cell>
          <cell r="AW300">
            <v>58.03</v>
          </cell>
          <cell r="AZ300">
            <v>15.93</v>
          </cell>
          <cell r="BC300">
            <v>0.37</v>
          </cell>
        </row>
        <row r="301">
          <cell r="D301">
            <v>139.85</v>
          </cell>
          <cell r="P301">
            <v>16.805</v>
          </cell>
          <cell r="AI301">
            <v>64.399999999999991</v>
          </cell>
          <cell r="AJ301">
            <v>3.23</v>
          </cell>
          <cell r="AW301">
            <v>40.65</v>
          </cell>
          <cell r="AZ301">
            <v>18.62</v>
          </cell>
          <cell r="BC301">
            <v>0.21000000000000002</v>
          </cell>
        </row>
        <row r="302">
          <cell r="D302">
            <v>156.75</v>
          </cell>
          <cell r="P302">
            <v>18.287999999999997</v>
          </cell>
          <cell r="AI302">
            <v>77.38</v>
          </cell>
          <cell r="AJ302">
            <v>3.35</v>
          </cell>
          <cell r="AW302">
            <v>52.15</v>
          </cell>
          <cell r="AZ302">
            <v>20.11</v>
          </cell>
          <cell r="BC302">
            <v>0.18</v>
          </cell>
        </row>
        <row r="303">
          <cell r="D303">
            <v>122.96999999999998</v>
          </cell>
          <cell r="P303">
            <v>24.355000000000004</v>
          </cell>
          <cell r="AI303">
            <v>43.610000000000007</v>
          </cell>
          <cell r="AJ303">
            <v>4.8900000000000006</v>
          </cell>
          <cell r="AW303">
            <v>25.18</v>
          </cell>
          <cell r="AZ303">
            <v>12.75</v>
          </cell>
          <cell r="BC303">
            <v>0.22999999999999998</v>
          </cell>
        </row>
        <row r="304">
          <cell r="D304">
            <v>148.92000000000002</v>
          </cell>
          <cell r="P304">
            <v>35.25200000000001</v>
          </cell>
          <cell r="AI304">
            <v>64.27000000000001</v>
          </cell>
          <cell r="AJ304">
            <v>6.7600000000000007</v>
          </cell>
          <cell r="AW304">
            <v>38.72</v>
          </cell>
          <cell r="AZ304">
            <v>18.13</v>
          </cell>
          <cell r="BC304">
            <v>0.22</v>
          </cell>
        </row>
        <row r="305">
          <cell r="D305">
            <v>141.18</v>
          </cell>
          <cell r="P305">
            <v>37.078000000000003</v>
          </cell>
          <cell r="AI305">
            <v>70.460000000000008</v>
          </cell>
          <cell r="AJ305">
            <v>5.3900000000000006</v>
          </cell>
          <cell r="AW305">
            <v>48.29</v>
          </cell>
          <cell r="AZ305">
            <v>15.290000000000001</v>
          </cell>
          <cell r="BC305">
            <v>0.2</v>
          </cell>
        </row>
        <row r="306">
          <cell r="D306">
            <v>80.63</v>
          </cell>
          <cell r="P306">
            <v>30.959000000000003</v>
          </cell>
          <cell r="AI306">
            <v>49.291999999999994</v>
          </cell>
          <cell r="AJ306">
            <v>4.78</v>
          </cell>
          <cell r="AW306">
            <v>32.129999999999995</v>
          </cell>
          <cell r="AZ306">
            <v>8.35</v>
          </cell>
          <cell r="BC306">
            <v>0.17</v>
          </cell>
        </row>
        <row r="307">
          <cell r="D307">
            <v>92.14</v>
          </cell>
          <cell r="P307">
            <v>44.830999999999989</v>
          </cell>
          <cell r="AI307">
            <v>199.34300000000002</v>
          </cell>
          <cell r="AJ307">
            <v>12.379999999999999</v>
          </cell>
          <cell r="AW307">
            <v>160.53</v>
          </cell>
          <cell r="AZ307">
            <v>6.5</v>
          </cell>
          <cell r="BC307">
            <v>0.24</v>
          </cell>
        </row>
        <row r="308">
          <cell r="D308">
            <v>142.76000000000002</v>
          </cell>
          <cell r="P308">
            <v>42.129000000000005</v>
          </cell>
          <cell r="AI308">
            <v>229.28100000000001</v>
          </cell>
          <cell r="AJ308">
            <v>13.79</v>
          </cell>
          <cell r="AW308">
            <v>202.68</v>
          </cell>
          <cell r="AZ308">
            <v>5.5600000000000005</v>
          </cell>
          <cell r="BC308">
            <v>0.31</v>
          </cell>
        </row>
        <row r="309">
          <cell r="D309">
            <v>106.69</v>
          </cell>
          <cell r="P309">
            <v>28.597000000000001</v>
          </cell>
          <cell r="AI309">
            <v>147.38000000000002</v>
          </cell>
          <cell r="AJ309">
            <v>30.64</v>
          </cell>
          <cell r="AW309">
            <v>101.15</v>
          </cell>
          <cell r="AZ309">
            <v>10.89</v>
          </cell>
          <cell r="BC309">
            <v>0.32999999999999996</v>
          </cell>
        </row>
        <row r="310">
          <cell r="D310">
            <v>57.91</v>
          </cell>
          <cell r="P310">
            <v>19.18</v>
          </cell>
          <cell r="AI310">
            <v>69.77000000000001</v>
          </cell>
          <cell r="AJ310">
            <v>18.439999999999998</v>
          </cell>
          <cell r="AW310">
            <v>39.94</v>
          </cell>
          <cell r="AZ310">
            <v>8.16</v>
          </cell>
          <cell r="BC310">
            <v>0.19</v>
          </cell>
        </row>
        <row r="311">
          <cell r="D311">
            <v>118.92999999999999</v>
          </cell>
          <cell r="P311">
            <v>23.628</v>
          </cell>
          <cell r="AI311">
            <v>122.92</v>
          </cell>
          <cell r="AJ311">
            <v>37.54</v>
          </cell>
          <cell r="AW311">
            <v>55.77</v>
          </cell>
          <cell r="AZ311">
            <v>18.670000000000002</v>
          </cell>
          <cell r="BC311">
            <v>0.27</v>
          </cell>
        </row>
        <row r="312">
          <cell r="D312">
            <v>132.6</v>
          </cell>
          <cell r="P312">
            <v>24.423999999999999</v>
          </cell>
          <cell r="AI312">
            <v>127.45</v>
          </cell>
          <cell r="AJ312">
            <v>24.44</v>
          </cell>
          <cell r="AW312">
            <v>80.22</v>
          </cell>
          <cell r="AZ312">
            <v>16.759999999999998</v>
          </cell>
          <cell r="BC312">
            <v>0.26</v>
          </cell>
        </row>
        <row r="313">
          <cell r="D313">
            <v>149.44999999999999</v>
          </cell>
          <cell r="P313">
            <v>24.018999999999998</v>
          </cell>
          <cell r="AI313">
            <v>320.68</v>
          </cell>
          <cell r="AJ313">
            <v>23.399999999999995</v>
          </cell>
          <cell r="AW313">
            <v>267.64999999999998</v>
          </cell>
          <cell r="AZ313">
            <v>21.84</v>
          </cell>
          <cell r="BC313">
            <v>0.27</v>
          </cell>
        </row>
        <row r="314">
          <cell r="D314">
            <v>95.089999999999989</v>
          </cell>
          <cell r="P314">
            <v>13.991</v>
          </cell>
          <cell r="AI314">
            <v>78.399999999999991</v>
          </cell>
          <cell r="AJ314">
            <v>8.990000000000002</v>
          </cell>
          <cell r="AW314">
            <v>57.86</v>
          </cell>
          <cell r="AZ314">
            <v>7.6400000000000006</v>
          </cell>
          <cell r="BC314">
            <v>0.18</v>
          </cell>
        </row>
        <row r="315">
          <cell r="D315">
            <v>154.74</v>
          </cell>
          <cell r="P315">
            <v>22.798999999999996</v>
          </cell>
          <cell r="AI315">
            <v>81.010000000000005</v>
          </cell>
          <cell r="AJ315">
            <v>4.3000000000000007</v>
          </cell>
          <cell r="AW315">
            <v>59.67</v>
          </cell>
          <cell r="AZ315">
            <v>14.88</v>
          </cell>
          <cell r="BC315">
            <v>0.28000000000000003</v>
          </cell>
        </row>
        <row r="316">
          <cell r="D316">
            <v>146.33000000000001</v>
          </cell>
          <cell r="P316">
            <v>24.312999999999999</v>
          </cell>
          <cell r="AI316">
            <v>69.199999999999989</v>
          </cell>
          <cell r="AJ316">
            <v>6.1999999999999993</v>
          </cell>
          <cell r="AW316">
            <v>42.76</v>
          </cell>
          <cell r="AZ316">
            <v>17.880000000000003</v>
          </cell>
          <cell r="BC316">
            <v>0.32</v>
          </cell>
        </row>
        <row r="317">
          <cell r="D317">
            <v>157.93</v>
          </cell>
          <cell r="P317">
            <v>21.381999999999998</v>
          </cell>
          <cell r="AI317">
            <v>79.179999999999993</v>
          </cell>
          <cell r="AJ317">
            <v>5.6899999999999995</v>
          </cell>
          <cell r="AW317">
            <v>51.84</v>
          </cell>
          <cell r="AZ317">
            <v>19.259999999999998</v>
          </cell>
          <cell r="BC317">
            <v>0.19</v>
          </cell>
        </row>
        <row r="318">
          <cell r="D318">
            <v>76.52000000000001</v>
          </cell>
          <cell r="P318">
            <v>26.249000000000002</v>
          </cell>
          <cell r="AI318">
            <v>48.891999999999996</v>
          </cell>
          <cell r="AJ318">
            <v>3.83</v>
          </cell>
          <cell r="AW318">
            <v>32.299999999999997</v>
          </cell>
          <cell r="AZ318">
            <v>9.11</v>
          </cell>
          <cell r="BC318">
            <v>0.15</v>
          </cell>
        </row>
        <row r="319">
          <cell r="D319">
            <v>81.28</v>
          </cell>
          <cell r="P319">
            <v>36.085999999999999</v>
          </cell>
          <cell r="AI319">
            <v>195.88300000000001</v>
          </cell>
          <cell r="AJ319">
            <v>11.04</v>
          </cell>
          <cell r="AW319">
            <v>157.88</v>
          </cell>
          <cell r="AZ319">
            <v>7.2200000000000006</v>
          </cell>
          <cell r="BC319">
            <v>0.26</v>
          </cell>
        </row>
        <row r="320">
          <cell r="D320">
            <v>130.82000000000002</v>
          </cell>
          <cell r="P320">
            <v>37.858999999999995</v>
          </cell>
          <cell r="AI320">
            <v>228.26100000000002</v>
          </cell>
          <cell r="AJ320">
            <v>12.869999999999997</v>
          </cell>
          <cell r="AW320">
            <v>201.75</v>
          </cell>
          <cell r="AZ320">
            <v>6.3100000000000005</v>
          </cell>
          <cell r="BC320">
            <v>0.27</v>
          </cell>
        </row>
        <row r="321">
          <cell r="D321">
            <v>50.98</v>
          </cell>
          <cell r="P321">
            <v>45.781999999999996</v>
          </cell>
          <cell r="AI321">
            <v>174.74</v>
          </cell>
          <cell r="AJ321">
            <v>14.52</v>
          </cell>
          <cell r="AW321">
            <v>114.49</v>
          </cell>
          <cell r="AZ321">
            <v>33.619999999999997</v>
          </cell>
          <cell r="BC321">
            <v>0.35</v>
          </cell>
        </row>
        <row r="322">
          <cell r="D322">
            <v>19.62</v>
          </cell>
          <cell r="P322">
            <v>27.722999999999999</v>
          </cell>
          <cell r="AI322">
            <v>257.89999999999998</v>
          </cell>
          <cell r="AJ322">
            <v>11.59</v>
          </cell>
          <cell r="AW322">
            <v>154.63</v>
          </cell>
          <cell r="AZ322">
            <v>71.95</v>
          </cell>
          <cell r="BC322">
            <v>0.25</v>
          </cell>
        </row>
        <row r="323">
          <cell r="D323">
            <v>8.92</v>
          </cell>
          <cell r="P323">
            <v>50.417000000000002</v>
          </cell>
          <cell r="AI323">
            <v>314.73999999999995</v>
          </cell>
          <cell r="AJ323">
            <v>9.81</v>
          </cell>
          <cell r="AW323">
            <v>272.3</v>
          </cell>
          <cell r="AZ323">
            <v>21.799999999999997</v>
          </cell>
          <cell r="BC323">
            <v>0.31000000000000005</v>
          </cell>
        </row>
        <row r="324">
          <cell r="D324">
            <v>179.77000000000004</v>
          </cell>
          <cell r="P324">
            <v>20.372000000000003</v>
          </cell>
          <cell r="AI324">
            <v>65.55</v>
          </cell>
          <cell r="AJ324">
            <v>1.6700000000000002</v>
          </cell>
          <cell r="AW324">
            <v>37.1</v>
          </cell>
          <cell r="AZ324">
            <v>25.259999999999998</v>
          </cell>
          <cell r="BC324">
            <v>0.19</v>
          </cell>
        </row>
        <row r="325">
          <cell r="D325">
            <v>118.97999999999999</v>
          </cell>
          <cell r="P325">
            <v>21.542000000000002</v>
          </cell>
          <cell r="AI325">
            <v>57.669999999999995</v>
          </cell>
          <cell r="AJ325">
            <v>1.73</v>
          </cell>
          <cell r="AW325">
            <v>26.189999999999998</v>
          </cell>
          <cell r="AZ325">
            <v>27.15</v>
          </cell>
          <cell r="BC325">
            <v>0.6</v>
          </cell>
        </row>
        <row r="326">
          <cell r="D326">
            <v>237.03999999999996</v>
          </cell>
          <cell r="P326">
            <v>25.3</v>
          </cell>
          <cell r="AI326">
            <v>160.97999999999999</v>
          </cell>
          <cell r="AJ326">
            <v>1.19</v>
          </cell>
          <cell r="AW326">
            <v>120</v>
          </cell>
          <cell r="AZ326">
            <v>38.06</v>
          </cell>
          <cell r="BC326">
            <v>0.31</v>
          </cell>
        </row>
        <row r="327">
          <cell r="D327">
            <v>64.58</v>
          </cell>
          <cell r="P327">
            <v>37.559000000000005</v>
          </cell>
          <cell r="AI327">
            <v>56.099999999999994</v>
          </cell>
          <cell r="AJ327">
            <v>6.34</v>
          </cell>
          <cell r="AW327">
            <v>33.299999999999997</v>
          </cell>
          <cell r="AZ327">
            <v>12</v>
          </cell>
          <cell r="BC327">
            <v>0.17</v>
          </cell>
        </row>
        <row r="328">
          <cell r="D328">
            <v>131.84</v>
          </cell>
          <cell r="P328">
            <v>54.948999999999998</v>
          </cell>
          <cell r="AI328">
            <v>56.600000000000009</v>
          </cell>
          <cell r="AJ328">
            <v>6.71</v>
          </cell>
          <cell r="AW328">
            <v>38.520000000000003</v>
          </cell>
          <cell r="AZ328">
            <v>6.92</v>
          </cell>
          <cell r="BC328">
            <v>1.26</v>
          </cell>
        </row>
        <row r="329">
          <cell r="D329">
            <v>69.61</v>
          </cell>
          <cell r="P329">
            <v>327.74899999999997</v>
          </cell>
          <cell r="AI329">
            <v>95.639999999999986</v>
          </cell>
          <cell r="AJ329">
            <v>5.95</v>
          </cell>
          <cell r="AW329">
            <v>74.3</v>
          </cell>
          <cell r="AZ329">
            <v>6.78</v>
          </cell>
          <cell r="BC329">
            <v>71.399999999999991</v>
          </cell>
        </row>
        <row r="330">
          <cell r="D330">
            <v>45.519999999999996</v>
          </cell>
          <cell r="P330">
            <v>28.667999999999992</v>
          </cell>
          <cell r="AI330">
            <v>46.41</v>
          </cell>
          <cell r="AJ330">
            <v>6.08</v>
          </cell>
          <cell r="AW330">
            <v>31.56</v>
          </cell>
          <cell r="AZ330">
            <v>4.21</v>
          </cell>
          <cell r="BC330">
            <v>0.17</v>
          </cell>
        </row>
        <row r="331">
          <cell r="D331">
            <v>56.690000000000005</v>
          </cell>
          <cell r="P331">
            <v>25.852000000000004</v>
          </cell>
          <cell r="AI331">
            <v>30.800000000000004</v>
          </cell>
          <cell r="AJ331">
            <v>5.19</v>
          </cell>
          <cell r="AW331">
            <v>17.630000000000003</v>
          </cell>
          <cell r="AZ331">
            <v>3.74</v>
          </cell>
          <cell r="BC331">
            <v>1.25</v>
          </cell>
        </row>
        <row r="332">
          <cell r="D332">
            <v>48.67</v>
          </cell>
          <cell r="P332">
            <v>103.93899999999999</v>
          </cell>
          <cell r="AI332">
            <v>86.5</v>
          </cell>
          <cell r="AJ332">
            <v>3.29</v>
          </cell>
          <cell r="AW332">
            <v>65.45</v>
          </cell>
          <cell r="AZ332">
            <v>4.67</v>
          </cell>
          <cell r="BC332">
            <v>34.43</v>
          </cell>
        </row>
        <row r="333">
          <cell r="D333">
            <v>106.26999999999998</v>
          </cell>
          <cell r="P333">
            <v>37.387999999999991</v>
          </cell>
          <cell r="AI333">
            <v>50.69</v>
          </cell>
          <cell r="AJ333">
            <v>16.12</v>
          </cell>
          <cell r="AW333">
            <v>15.85</v>
          </cell>
          <cell r="AZ333">
            <v>10.14</v>
          </cell>
          <cell r="BC333">
            <v>0.30000000000000004</v>
          </cell>
        </row>
        <row r="334">
          <cell r="D334">
            <v>130.29</v>
          </cell>
          <cell r="P334">
            <v>52.967000000000006</v>
          </cell>
          <cell r="AI334">
            <v>83.18</v>
          </cell>
          <cell r="AJ334">
            <v>13.91</v>
          </cell>
          <cell r="AW334">
            <v>48.57</v>
          </cell>
          <cell r="AZ334">
            <v>8.9</v>
          </cell>
          <cell r="BC334">
            <v>4.49</v>
          </cell>
        </row>
        <row r="335">
          <cell r="D335">
            <v>50.730000000000004</v>
          </cell>
          <cell r="P335">
            <v>110.1542</v>
          </cell>
          <cell r="AI335">
            <v>97.189999999999984</v>
          </cell>
          <cell r="AJ335">
            <v>3.98</v>
          </cell>
          <cell r="AW335">
            <v>75.430000000000007</v>
          </cell>
          <cell r="AZ335">
            <v>3.38</v>
          </cell>
          <cell r="BC335">
            <v>36.72</v>
          </cell>
        </row>
        <row r="336">
          <cell r="D336">
            <v>177.03000000000003</v>
          </cell>
          <cell r="P336">
            <v>62.032999999999994</v>
          </cell>
          <cell r="AI336">
            <v>145.13</v>
          </cell>
          <cell r="AJ336">
            <v>24.75</v>
          </cell>
          <cell r="AW336">
            <v>68.39</v>
          </cell>
          <cell r="AZ336">
            <v>32.82</v>
          </cell>
          <cell r="BC336">
            <v>0.36</v>
          </cell>
        </row>
        <row r="337">
          <cell r="D337">
            <v>457.71000000000004</v>
          </cell>
          <cell r="P337">
            <v>101.241</v>
          </cell>
          <cell r="AI337">
            <v>774.82</v>
          </cell>
          <cell r="AJ337">
            <v>43.46</v>
          </cell>
          <cell r="AW337">
            <v>499.46</v>
          </cell>
          <cell r="AZ337">
            <v>113.63000000000001</v>
          </cell>
          <cell r="BC337">
            <v>4.2</v>
          </cell>
        </row>
        <row r="338">
          <cell r="D338">
            <v>115.82000000000001</v>
          </cell>
          <cell r="P338">
            <v>221.97969999999998</v>
          </cell>
          <cell r="AI338">
            <v>115.09</v>
          </cell>
          <cell r="AJ338">
            <v>5.17</v>
          </cell>
          <cell r="AW338">
            <v>80.25</v>
          </cell>
          <cell r="AZ338">
            <v>18.380000000000003</v>
          </cell>
          <cell r="BC338">
            <v>21.729999999999997</v>
          </cell>
        </row>
        <row r="339">
          <cell r="D339">
            <v>267.62</v>
          </cell>
          <cell r="P339">
            <v>82.921000000000021</v>
          </cell>
          <cell r="AI339">
            <v>259.99</v>
          </cell>
          <cell r="AJ339">
            <v>8.99</v>
          </cell>
          <cell r="AW339">
            <v>228.07</v>
          </cell>
          <cell r="AZ339">
            <v>14.559999999999999</v>
          </cell>
          <cell r="BC339">
            <v>0.52</v>
          </cell>
        </row>
        <row r="340">
          <cell r="D340">
            <v>279.62</v>
          </cell>
          <cell r="P340">
            <v>60.848999999999997</v>
          </cell>
          <cell r="AI340">
            <v>80.279999999999987</v>
          </cell>
          <cell r="AJ340">
            <v>8.3000000000000007</v>
          </cell>
          <cell r="AW340">
            <v>50.11</v>
          </cell>
          <cell r="AZ340">
            <v>13.81</v>
          </cell>
          <cell r="BC340">
            <v>0.99</v>
          </cell>
        </row>
        <row r="341">
          <cell r="D341">
            <v>121.64999999999999</v>
          </cell>
          <cell r="P341">
            <v>211.655</v>
          </cell>
          <cell r="AI341">
            <v>106.28</v>
          </cell>
          <cell r="AJ341">
            <v>3.75</v>
          </cell>
          <cell r="AW341">
            <v>86.45</v>
          </cell>
          <cell r="AZ341">
            <v>6.9700000000000006</v>
          </cell>
          <cell r="BC341">
            <v>9.77</v>
          </cell>
        </row>
        <row r="342">
          <cell r="D342">
            <v>122.26</v>
          </cell>
          <cell r="P342">
            <v>8.5516899999999989</v>
          </cell>
          <cell r="AI342">
            <v>87.02</v>
          </cell>
          <cell r="AJ342">
            <v>12.08</v>
          </cell>
          <cell r="AW342">
            <v>53.480000000000004</v>
          </cell>
          <cell r="AZ342">
            <v>13.23</v>
          </cell>
          <cell r="BC342">
            <v>7.3709999999999998E-2</v>
          </cell>
        </row>
        <row r="343">
          <cell r="D343">
            <v>144.05000000000001</v>
          </cell>
          <cell r="P343">
            <v>49.837369999999993</v>
          </cell>
          <cell r="AI343">
            <v>430.37</v>
          </cell>
          <cell r="AJ343">
            <v>10.9</v>
          </cell>
          <cell r="AW343">
            <v>373.43</v>
          </cell>
          <cell r="AZ343">
            <v>21.24</v>
          </cell>
          <cell r="BC343">
            <v>1.9944599999999999</v>
          </cell>
        </row>
        <row r="344">
          <cell r="D344">
            <v>70.47</v>
          </cell>
          <cell r="P344">
            <v>92.805469999999971</v>
          </cell>
          <cell r="AI344">
            <v>105.08</v>
          </cell>
          <cell r="AJ344">
            <v>6.1099999999999994</v>
          </cell>
          <cell r="AW344">
            <v>69.33</v>
          </cell>
          <cell r="AZ344">
            <v>8.94</v>
          </cell>
          <cell r="BC344">
            <v>22.88879</v>
          </cell>
        </row>
        <row r="345">
          <cell r="D345">
            <v>164.51</v>
          </cell>
          <cell r="P345">
            <v>33.862000000000002</v>
          </cell>
          <cell r="AI345">
            <v>129.24</v>
          </cell>
          <cell r="AJ345">
            <v>32.17</v>
          </cell>
          <cell r="AW345">
            <v>58.04</v>
          </cell>
          <cell r="AZ345">
            <v>28.15</v>
          </cell>
          <cell r="BC345">
            <v>0.63</v>
          </cell>
        </row>
        <row r="346">
          <cell r="D346">
            <v>0</v>
          </cell>
          <cell r="P346">
            <v>0</v>
          </cell>
          <cell r="AI346">
            <v>0</v>
          </cell>
          <cell r="AJ346">
            <v>0</v>
          </cell>
          <cell r="AW346">
            <v>0</v>
          </cell>
          <cell r="AZ346">
            <v>0</v>
          </cell>
          <cell r="BC346">
            <v>0</v>
          </cell>
        </row>
        <row r="347">
          <cell r="D347">
            <v>40.809999999999995</v>
          </cell>
          <cell r="P347">
            <v>53.446000000000012</v>
          </cell>
          <cell r="AI347">
            <v>32.75</v>
          </cell>
          <cell r="AJ347">
            <v>4.93</v>
          </cell>
          <cell r="AW347">
            <v>8.98</v>
          </cell>
          <cell r="AZ347">
            <v>17.809999999999999</v>
          </cell>
          <cell r="BC347">
            <v>0.33</v>
          </cell>
        </row>
        <row r="348">
          <cell r="D348">
            <v>108.49000000000001</v>
          </cell>
          <cell r="P348">
            <v>45.288999999999994</v>
          </cell>
          <cell r="AI348">
            <v>91.06</v>
          </cell>
          <cell r="AJ348">
            <v>12.3</v>
          </cell>
          <cell r="AW348">
            <v>54.91</v>
          </cell>
          <cell r="AZ348">
            <v>17.21</v>
          </cell>
          <cell r="BC348">
            <v>0.62</v>
          </cell>
        </row>
        <row r="349">
          <cell r="D349">
            <v>213.19</v>
          </cell>
          <cell r="P349">
            <v>114.92</v>
          </cell>
          <cell r="AI349">
            <v>239.75</v>
          </cell>
          <cell r="AJ349">
            <v>21.07</v>
          </cell>
          <cell r="AW349">
            <v>178.03</v>
          </cell>
          <cell r="AZ349">
            <v>27.779999999999998</v>
          </cell>
          <cell r="BC349">
            <v>5.4899999999999993</v>
          </cell>
        </row>
        <row r="350">
          <cell r="D350">
            <v>69.83</v>
          </cell>
          <cell r="P350">
            <v>247.81929999999997</v>
          </cell>
          <cell r="AI350">
            <v>86.6</v>
          </cell>
          <cell r="AJ350">
            <v>4.4800000000000004</v>
          </cell>
          <cell r="AW350">
            <v>57.91</v>
          </cell>
          <cell r="AZ350">
            <v>15.15</v>
          </cell>
          <cell r="BC350">
            <v>42.57</v>
          </cell>
        </row>
        <row r="351">
          <cell r="D351">
            <v>431.78000000000003</v>
          </cell>
          <cell r="P351">
            <v>222.33100000000002</v>
          </cell>
          <cell r="AI351">
            <v>368.81</v>
          </cell>
          <cell r="AJ351">
            <v>162.16</v>
          </cell>
          <cell r="AW351">
            <v>73.13</v>
          </cell>
          <cell r="AZ351">
            <v>43.06</v>
          </cell>
          <cell r="BC351">
            <v>3.41</v>
          </cell>
        </row>
        <row r="352">
          <cell r="D352">
            <v>271.30999999999995</v>
          </cell>
          <cell r="P352">
            <v>64.406000000000006</v>
          </cell>
          <cell r="AI352">
            <v>237.88</v>
          </cell>
          <cell r="AJ352">
            <v>136.20999999999998</v>
          </cell>
          <cell r="AW352">
            <v>20.87</v>
          </cell>
          <cell r="AZ352">
            <v>29.020000000000003</v>
          </cell>
          <cell r="BC352">
            <v>0.46</v>
          </cell>
        </row>
        <row r="353">
          <cell r="D353">
            <v>312.60000000000002</v>
          </cell>
          <cell r="P353">
            <v>68.0047</v>
          </cell>
          <cell r="AI353">
            <v>324.97000000000003</v>
          </cell>
          <cell r="AJ353">
            <v>152.94999999999999</v>
          </cell>
          <cell r="AW353">
            <v>88.14</v>
          </cell>
          <cell r="AZ353">
            <v>26.53</v>
          </cell>
          <cell r="BC353">
            <v>0.24</v>
          </cell>
        </row>
        <row r="354">
          <cell r="D354">
            <v>48.816999999999993</v>
          </cell>
          <cell r="P354">
            <v>52.407999999999994</v>
          </cell>
          <cell r="AI354">
            <v>54.615000000000002</v>
          </cell>
          <cell r="AJ354">
            <v>7.93</v>
          </cell>
          <cell r="AW354">
            <v>24.58</v>
          </cell>
          <cell r="AZ354">
            <v>15.58</v>
          </cell>
          <cell r="BC354">
            <v>0.71</v>
          </cell>
        </row>
        <row r="355">
          <cell r="D355">
            <v>128.07</v>
          </cell>
          <cell r="P355">
            <v>166.63400000000001</v>
          </cell>
          <cell r="AI355">
            <v>125.396</v>
          </cell>
          <cell r="AJ355">
            <v>22.67</v>
          </cell>
          <cell r="AW355">
            <v>47.58</v>
          </cell>
          <cell r="AZ355">
            <v>15.920000000000002</v>
          </cell>
          <cell r="BC355">
            <v>7.22</v>
          </cell>
        </row>
        <row r="356">
          <cell r="D356">
            <v>66.591999999999999</v>
          </cell>
          <cell r="P356">
            <v>37.793800000000005</v>
          </cell>
          <cell r="AI356">
            <v>87.584000000000003</v>
          </cell>
          <cell r="AJ356">
            <v>13.92</v>
          </cell>
          <cell r="AW356">
            <v>49.769999999999996</v>
          </cell>
          <cell r="AZ356">
            <v>8.76</v>
          </cell>
          <cell r="BC356">
            <v>0.5</v>
          </cell>
        </row>
        <row r="357">
          <cell r="D357">
            <v>85.929999999999993</v>
          </cell>
          <cell r="P357">
            <v>24.144999999999996</v>
          </cell>
          <cell r="AI357">
            <v>63.981000000000002</v>
          </cell>
          <cell r="AJ357">
            <v>20.75</v>
          </cell>
          <cell r="AW357">
            <v>12.69</v>
          </cell>
          <cell r="AZ357">
            <v>15.65</v>
          </cell>
          <cell r="BC357">
            <v>0.28999999999999998</v>
          </cell>
        </row>
        <row r="358">
          <cell r="D358">
            <v>192.32000000000002</v>
          </cell>
          <cell r="P358">
            <v>16.202000000000002</v>
          </cell>
          <cell r="AI358">
            <v>60.701999999999991</v>
          </cell>
          <cell r="AJ358">
            <v>28.25</v>
          </cell>
          <cell r="AW358">
            <v>8.9499999999999993</v>
          </cell>
          <cell r="AZ358">
            <v>13.36</v>
          </cell>
          <cell r="BC358">
            <v>0.88</v>
          </cell>
        </row>
        <row r="359">
          <cell r="D359">
            <v>140.26</v>
          </cell>
          <cell r="P359">
            <v>19.5715</v>
          </cell>
          <cell r="AI359">
            <v>150.05099999999999</v>
          </cell>
          <cell r="AJ359">
            <v>30.29</v>
          </cell>
          <cell r="AW359">
            <v>11.91</v>
          </cell>
          <cell r="AZ359">
            <v>97.88</v>
          </cell>
          <cell r="BC359">
            <v>0.42000000000000004</v>
          </cell>
        </row>
        <row r="360">
          <cell r="D360">
            <v>107.607</v>
          </cell>
          <cell r="P360">
            <v>15.420999999999999</v>
          </cell>
          <cell r="AI360">
            <v>74.305099999999996</v>
          </cell>
          <cell r="AJ360">
            <v>47.620000000000005</v>
          </cell>
          <cell r="AW360">
            <v>6.24</v>
          </cell>
          <cell r="AZ360">
            <v>14.12</v>
          </cell>
          <cell r="BC360">
            <v>0.51</v>
          </cell>
        </row>
        <row r="361">
          <cell r="D361">
            <v>372.61</v>
          </cell>
          <cell r="P361">
            <v>70.921000000000006</v>
          </cell>
          <cell r="AI361">
            <v>149.43100000000001</v>
          </cell>
          <cell r="AJ361">
            <v>73.080000000000013</v>
          </cell>
          <cell r="AW361">
            <v>17.72</v>
          </cell>
          <cell r="AZ361">
            <v>36.47</v>
          </cell>
          <cell r="BC361">
            <v>1.4900000000000002</v>
          </cell>
        </row>
        <row r="362">
          <cell r="D362">
            <v>122.04399999999998</v>
          </cell>
          <cell r="P362">
            <v>18.094999999999999</v>
          </cell>
          <cell r="AI362">
            <v>111.15349999999999</v>
          </cell>
          <cell r="AJ362">
            <v>56.879999999999995</v>
          </cell>
          <cell r="AW362">
            <v>9.11</v>
          </cell>
          <cell r="AZ362">
            <v>37.599999999999994</v>
          </cell>
          <cell r="BC362">
            <v>1.05</v>
          </cell>
        </row>
        <row r="363">
          <cell r="D363">
            <v>149.136</v>
          </cell>
          <cell r="P363">
            <v>27.021999999999998</v>
          </cell>
          <cell r="AI363">
            <v>88.241499999999974</v>
          </cell>
          <cell r="AJ363">
            <v>40.54</v>
          </cell>
          <cell r="AW363">
            <v>9.18</v>
          </cell>
          <cell r="AZ363">
            <v>30.87</v>
          </cell>
          <cell r="BC363">
            <v>0.66</v>
          </cell>
        </row>
        <row r="364">
          <cell r="D364">
            <v>311.41999999999996</v>
          </cell>
          <cell r="P364">
            <v>115.72300000000001</v>
          </cell>
          <cell r="AI364">
            <v>154.01600000000002</v>
          </cell>
          <cell r="AJ364">
            <v>81.69</v>
          </cell>
          <cell r="AW364">
            <v>9.120000000000001</v>
          </cell>
          <cell r="AZ364">
            <v>39.989999999999995</v>
          </cell>
          <cell r="BC364">
            <v>1.6500000000000001</v>
          </cell>
        </row>
        <row r="365">
          <cell r="D365">
            <v>143.988</v>
          </cell>
          <cell r="P365">
            <v>22.765199999999993</v>
          </cell>
          <cell r="AI365">
            <v>80.781099999999995</v>
          </cell>
          <cell r="AJ365">
            <v>34.729999999999997</v>
          </cell>
          <cell r="AW365">
            <v>11.09</v>
          </cell>
          <cell r="AZ365">
            <v>30.85</v>
          </cell>
          <cell r="BC365">
            <v>0.22</v>
          </cell>
        </row>
        <row r="366">
          <cell r="D366">
            <v>43</v>
          </cell>
          <cell r="P366">
            <v>21.537000000000006</v>
          </cell>
          <cell r="AI366">
            <v>28.436999999999998</v>
          </cell>
          <cell r="AJ366">
            <v>4.5199999999999996</v>
          </cell>
          <cell r="AW366">
            <v>14.64</v>
          </cell>
          <cell r="AZ366">
            <v>5.1000000000000005</v>
          </cell>
          <cell r="BC366">
            <v>0.16</v>
          </cell>
        </row>
        <row r="367">
          <cell r="D367">
            <v>66.14</v>
          </cell>
          <cell r="P367">
            <v>21.14</v>
          </cell>
          <cell r="AI367">
            <v>61.379000000000005</v>
          </cell>
          <cell r="AJ367">
            <v>8.75</v>
          </cell>
          <cell r="AW367">
            <v>37.270000000000003</v>
          </cell>
          <cell r="AZ367">
            <v>7.34</v>
          </cell>
          <cell r="BC367">
            <v>0.26</v>
          </cell>
        </row>
        <row r="368">
          <cell r="D368">
            <v>46.75</v>
          </cell>
          <cell r="P368">
            <v>18.783799999999999</v>
          </cell>
          <cell r="AI368">
            <v>73.378999999999991</v>
          </cell>
          <cell r="AJ368">
            <v>6.24</v>
          </cell>
          <cell r="AW368">
            <v>51.2</v>
          </cell>
          <cell r="AZ368">
            <v>5.77</v>
          </cell>
          <cell r="BC368">
            <v>0.32</v>
          </cell>
        </row>
        <row r="369">
          <cell r="D369">
            <v>39.564</v>
          </cell>
          <cell r="P369">
            <v>48.190000000000005</v>
          </cell>
          <cell r="AI369">
            <v>77.35199999999999</v>
          </cell>
          <cell r="AJ369">
            <v>5.16</v>
          </cell>
          <cell r="AW369">
            <v>50.42</v>
          </cell>
          <cell r="AZ369">
            <v>11.66</v>
          </cell>
          <cell r="BC369">
            <v>0.03</v>
          </cell>
        </row>
        <row r="370">
          <cell r="D370">
            <v>58.339999999999996</v>
          </cell>
          <cell r="P370">
            <v>28.240000000000006</v>
          </cell>
          <cell r="AI370">
            <v>59.939</v>
          </cell>
          <cell r="AJ370">
            <v>6.83</v>
          </cell>
          <cell r="AW370">
            <v>33.64</v>
          </cell>
          <cell r="AZ370">
            <v>14.899999999999999</v>
          </cell>
          <cell r="BC370">
            <v>0.31</v>
          </cell>
        </row>
        <row r="371">
          <cell r="D371">
            <v>40.790999999999997</v>
          </cell>
          <cell r="P371">
            <v>12.658999999999999</v>
          </cell>
          <cell r="AI371">
            <v>75.69</v>
          </cell>
          <cell r="AJ371">
            <v>5.97</v>
          </cell>
          <cell r="AW371">
            <v>54.12</v>
          </cell>
          <cell r="AZ371">
            <v>11.380000000000003</v>
          </cell>
          <cell r="BC371">
            <v>0.64</v>
          </cell>
        </row>
        <row r="372">
          <cell r="D372">
            <v>21.093</v>
          </cell>
          <cell r="P372">
            <v>26.880999999999993</v>
          </cell>
          <cell r="AI372">
            <v>108.12860000000001</v>
          </cell>
          <cell r="AJ372">
            <v>6</v>
          </cell>
          <cell r="AW372">
            <v>23.35</v>
          </cell>
          <cell r="AZ372">
            <v>72.52</v>
          </cell>
          <cell r="BC372">
            <v>0.51</v>
          </cell>
        </row>
        <row r="373">
          <cell r="D373">
            <v>30.92</v>
          </cell>
          <cell r="P373">
            <v>29.904000000000003</v>
          </cell>
          <cell r="AI373">
            <v>53.786000000000001</v>
          </cell>
          <cell r="AJ373">
            <v>5.22</v>
          </cell>
          <cell r="AW373">
            <v>30.99</v>
          </cell>
          <cell r="AZ373">
            <v>13.16</v>
          </cell>
          <cell r="BC373">
            <v>0.27</v>
          </cell>
        </row>
        <row r="374">
          <cell r="D374">
            <v>38.214999999999996</v>
          </cell>
          <cell r="P374">
            <v>33.396999999999998</v>
          </cell>
          <cell r="AI374">
            <v>45.604600000000005</v>
          </cell>
          <cell r="AJ374">
            <v>2.98</v>
          </cell>
          <cell r="AW374">
            <v>20.92</v>
          </cell>
          <cell r="AZ374">
            <v>15.34</v>
          </cell>
          <cell r="BC374">
            <v>0.4</v>
          </cell>
        </row>
        <row r="375">
          <cell r="D375">
            <v>69.718999999999994</v>
          </cell>
          <cell r="P375">
            <v>42.524999999999999</v>
          </cell>
          <cell r="AI375">
            <v>57.802999999999997</v>
          </cell>
          <cell r="AJ375">
            <v>4.6899999999999995</v>
          </cell>
          <cell r="AW375">
            <v>18.68</v>
          </cell>
          <cell r="AZ375">
            <v>27.71</v>
          </cell>
          <cell r="BC375">
            <v>0.41000000000000003</v>
          </cell>
        </row>
        <row r="376">
          <cell r="D376">
            <v>97.580000000000013</v>
          </cell>
          <cell r="P376">
            <v>68.91200000000002</v>
          </cell>
          <cell r="AI376">
            <v>64.947000000000003</v>
          </cell>
          <cell r="AJ376">
            <v>4.5999999999999996</v>
          </cell>
          <cell r="AW376">
            <v>20.78</v>
          </cell>
          <cell r="AZ376">
            <v>32.29</v>
          </cell>
          <cell r="BC376">
            <v>0.39</v>
          </cell>
        </row>
        <row r="377">
          <cell r="D377">
            <v>102.913</v>
          </cell>
          <cell r="P377">
            <v>62.990699999999997</v>
          </cell>
          <cell r="AI377">
            <v>91.17</v>
          </cell>
          <cell r="AJ377">
            <v>5.3</v>
          </cell>
          <cell r="AW377">
            <v>49.83</v>
          </cell>
          <cell r="AZ377">
            <v>30.74</v>
          </cell>
          <cell r="BC377">
            <v>0.21</v>
          </cell>
        </row>
        <row r="378">
          <cell r="D378">
            <v>77.676999999999992</v>
          </cell>
          <cell r="P378">
            <v>29.242000000000001</v>
          </cell>
          <cell r="AI378">
            <v>74.932999999999993</v>
          </cell>
          <cell r="AJ378">
            <v>4.01</v>
          </cell>
          <cell r="AW378">
            <v>55.589999999999996</v>
          </cell>
          <cell r="AZ378">
            <v>11.39</v>
          </cell>
          <cell r="BC378">
            <v>0.63</v>
          </cell>
        </row>
        <row r="379">
          <cell r="D379">
            <v>96.949999999999989</v>
          </cell>
          <cell r="P379">
            <v>25.942999999999998</v>
          </cell>
          <cell r="AI379">
            <v>94.559999999999988</v>
          </cell>
          <cell r="AJ379">
            <v>5.38</v>
          </cell>
          <cell r="AW379">
            <v>67.900000000000006</v>
          </cell>
          <cell r="AZ379">
            <v>12.559999999999999</v>
          </cell>
          <cell r="BC379">
            <v>1.1000000000000001</v>
          </cell>
        </row>
        <row r="380">
          <cell r="D380">
            <v>78.882999999999996</v>
          </cell>
          <cell r="P380">
            <v>24.020899999999997</v>
          </cell>
          <cell r="AI380">
            <v>81.709999999999994</v>
          </cell>
          <cell r="AJ380">
            <v>2.46</v>
          </cell>
          <cell r="AW380">
            <v>59.18</v>
          </cell>
          <cell r="AZ380">
            <v>11.92</v>
          </cell>
          <cell r="BC380">
            <v>1.6400000000000001</v>
          </cell>
        </row>
        <row r="381">
          <cell r="D381">
            <v>127.19</v>
          </cell>
          <cell r="P381">
            <v>57.67</v>
          </cell>
          <cell r="AI381">
            <v>115.899</v>
          </cell>
          <cell r="AJ381">
            <v>6.77</v>
          </cell>
          <cell r="AW381">
            <v>85.59</v>
          </cell>
          <cell r="AZ381">
            <v>12.82</v>
          </cell>
          <cell r="BC381">
            <v>1.1300000000000001</v>
          </cell>
        </row>
        <row r="382">
          <cell r="D382">
            <v>122.94</v>
          </cell>
          <cell r="P382">
            <v>55.719000000000008</v>
          </cell>
          <cell r="AI382">
            <v>65.63900000000001</v>
          </cell>
          <cell r="AJ382">
            <v>7.69</v>
          </cell>
          <cell r="AW382">
            <v>35.54</v>
          </cell>
          <cell r="AZ382">
            <v>17.450000000000003</v>
          </cell>
          <cell r="BC382">
            <v>0.8600000000000001</v>
          </cell>
        </row>
        <row r="383">
          <cell r="D383">
            <v>121.63999999999999</v>
          </cell>
          <cell r="P383">
            <v>15.490000000000002</v>
          </cell>
          <cell r="AI383">
            <v>100.07</v>
          </cell>
          <cell r="AJ383">
            <v>11.84</v>
          </cell>
          <cell r="AW383">
            <v>60.17</v>
          </cell>
          <cell r="AZ383">
            <v>17.22</v>
          </cell>
          <cell r="BC383">
            <v>0.95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_MX"/>
      <sheetName val="Min_MX (rebase)"/>
      <sheetName val="CPI_REPORT"/>
      <sheetName val="Chart1"/>
      <sheetName val="Sheet1"/>
      <sheetName val="Min_MX (rebase)copy"/>
    </sheetNames>
    <sheetDataSet>
      <sheetData sheetId="0"/>
      <sheetData sheetId="1">
        <row r="3">
          <cell r="CD3">
            <v>68.745635568828177</v>
          </cell>
          <cell r="CE3">
            <v>68.71293663607095</v>
          </cell>
          <cell r="CH3">
            <v>70.386108314076239</v>
          </cell>
          <cell r="CK3">
            <v>70.725438896082522</v>
          </cell>
          <cell r="CN3">
            <v>70.782726045883948</v>
          </cell>
          <cell r="CQ3">
            <v>70.782726045883948</v>
          </cell>
          <cell r="CT3">
            <v>72.469635627530366</v>
          </cell>
          <cell r="CW3">
            <v>73.009446693657225</v>
          </cell>
          <cell r="CZ3">
            <v>73.549257759784084</v>
          </cell>
          <cell r="DC3">
            <v>72.941970310391369</v>
          </cell>
          <cell r="DF3">
            <v>75.506072874493938</v>
          </cell>
          <cell r="DI3">
            <v>76.248313090418364</v>
          </cell>
          <cell r="DL3">
            <v>76.585695006747642</v>
          </cell>
          <cell r="DO3">
            <v>77.530364372469634</v>
          </cell>
          <cell r="DR3">
            <v>79.082321187584341</v>
          </cell>
          <cell r="DU3">
            <v>80.836707152496629</v>
          </cell>
          <cell r="DX3">
            <v>81.983805668016203</v>
          </cell>
          <cell r="EA3">
            <v>83.063427800269906</v>
          </cell>
          <cell r="ED3">
            <v>84.345479082321191</v>
          </cell>
          <cell r="EG3">
            <v>86.167341430499334</v>
          </cell>
          <cell r="EJ3">
            <v>89.946018893387318</v>
          </cell>
          <cell r="EM3">
            <v>91.970310391363043</v>
          </cell>
          <cell r="EP3">
            <v>93.184885290148458</v>
          </cell>
          <cell r="ES3">
            <v>95.411605937921735</v>
          </cell>
          <cell r="EV3">
            <v>97.570850202429142</v>
          </cell>
          <cell r="EY3">
            <v>103</v>
          </cell>
        </row>
        <row r="11">
          <cell r="CD11">
            <v>65.254538020857268</v>
          </cell>
          <cell r="CE11">
            <v>65.233001480336455</v>
          </cell>
          <cell r="CH11">
            <v>66.470848408126798</v>
          </cell>
          <cell r="CK11">
            <v>66.952806851930319</v>
          </cell>
          <cell r="CN11">
            <v>67.320662170447577</v>
          </cell>
          <cell r="CQ11">
            <v>67.995095033721654</v>
          </cell>
          <cell r="CT11">
            <v>70.631514408338447</v>
          </cell>
          <cell r="CW11">
            <v>70.141017780502764</v>
          </cell>
          <cell r="CZ11">
            <v>73.451870018393635</v>
          </cell>
          <cell r="DC11">
            <v>72.164316370324954</v>
          </cell>
          <cell r="DF11">
            <v>75.168608215818509</v>
          </cell>
          <cell r="DI11">
            <v>75.659104843654205</v>
          </cell>
          <cell r="DL11">
            <v>74.49417535254446</v>
          </cell>
          <cell r="DO11">
            <v>73.697118332311476</v>
          </cell>
          <cell r="DR11">
            <v>73.758430410790936</v>
          </cell>
          <cell r="DU11">
            <v>75.352544451256904</v>
          </cell>
          <cell r="DX11">
            <v>75.597792765174745</v>
          </cell>
          <cell r="EA11">
            <v>76.149601471489888</v>
          </cell>
          <cell r="ED11">
            <v>78.847332924586141</v>
          </cell>
          <cell r="EG11">
            <v>81.667688534641329</v>
          </cell>
          <cell r="EJ11">
            <v>87.308399754751704</v>
          </cell>
          <cell r="EM11">
            <v>91.048436541998782</v>
          </cell>
          <cell r="EP11">
            <v>93.991416309012891</v>
          </cell>
          <cell r="ES11">
            <v>97.05702023298592</v>
          </cell>
          <cell r="EV11">
            <v>97.97670141017781</v>
          </cell>
          <cell r="EY11">
            <v>106.7</v>
          </cell>
        </row>
        <row r="15">
          <cell r="CD15">
            <v>80.863179025554018</v>
          </cell>
          <cell r="CE15">
            <v>80.701042601688968</v>
          </cell>
          <cell r="CH15">
            <v>82.526516330969656</v>
          </cell>
          <cell r="CK15">
            <v>82.459613035837748</v>
          </cell>
          <cell r="CN15">
            <v>81.475541299117879</v>
          </cell>
          <cell r="CQ15">
            <v>81.154771451483569</v>
          </cell>
          <cell r="CT15">
            <v>85.004009623095428</v>
          </cell>
          <cell r="CW15">
            <v>83.720930232558146</v>
          </cell>
          <cell r="CZ15">
            <v>79.310344827586206</v>
          </cell>
          <cell r="DC15">
            <v>84.121892542101037</v>
          </cell>
          <cell r="DF15">
            <v>85.886126704089804</v>
          </cell>
          <cell r="DI15">
            <v>88.692862870890139</v>
          </cell>
          <cell r="DL15">
            <v>90.296712109061744</v>
          </cell>
          <cell r="DO15">
            <v>91.419406575781863</v>
          </cell>
          <cell r="DR15">
            <v>92.060946271050511</v>
          </cell>
          <cell r="DU15">
            <v>93.023255813953483</v>
          </cell>
          <cell r="DX15">
            <v>92.542101042502011</v>
          </cell>
          <cell r="EA15">
            <v>92.862870890136321</v>
          </cell>
          <cell r="ED15">
            <v>93.664795509222131</v>
          </cell>
          <cell r="EG15">
            <v>95.910184442662384</v>
          </cell>
          <cell r="EJ15">
            <v>98.235765838011218</v>
          </cell>
          <cell r="EM15">
            <v>98.556535685645557</v>
          </cell>
          <cell r="EP15">
            <v>99.518845228548514</v>
          </cell>
          <cell r="ES15">
            <v>97.19326383319968</v>
          </cell>
          <cell r="EV15">
            <v>100.56134723336008</v>
          </cell>
          <cell r="EY15">
            <v>98.5</v>
          </cell>
        </row>
        <row r="22">
          <cell r="CD22">
            <v>71.918992522599652</v>
          </cell>
          <cell r="CE22">
            <v>71.492863287530355</v>
          </cell>
          <cell r="CH22">
            <v>73.347190950231806</v>
          </cell>
          <cell r="CK22">
            <v>73.572742698510268</v>
          </cell>
          <cell r="CN22">
            <v>72.978878368536044</v>
          </cell>
          <cell r="CQ22">
            <v>71.01238164603059</v>
          </cell>
          <cell r="CT22">
            <v>75.819373634377257</v>
          </cell>
          <cell r="CW22">
            <v>73.998543335761099</v>
          </cell>
          <cell r="CZ22">
            <v>74.508375819373626</v>
          </cell>
          <cell r="DC22">
            <v>74.799708667152217</v>
          </cell>
          <cell r="DF22">
            <v>75.45520757465404</v>
          </cell>
          <cell r="DI22">
            <v>77.494537509104148</v>
          </cell>
          <cell r="DL22">
            <v>77.64020393299343</v>
          </cell>
          <cell r="DO22">
            <v>79.169701383831026</v>
          </cell>
          <cell r="DR22">
            <v>81.35469774217043</v>
          </cell>
          <cell r="DU22">
            <v>81.281864530225761</v>
          </cell>
          <cell r="DX22">
            <v>83.029861616897293</v>
          </cell>
          <cell r="EA22">
            <v>83.903860160233052</v>
          </cell>
          <cell r="ED22">
            <v>83.612527312454461</v>
          </cell>
          <cell r="EG22">
            <v>84.923525127458106</v>
          </cell>
          <cell r="EJ22">
            <v>89.147851420247619</v>
          </cell>
          <cell r="EM22">
            <v>90.021849963583378</v>
          </cell>
          <cell r="EP22">
            <v>91.114348142753087</v>
          </cell>
          <cell r="ES22">
            <v>93.590677348871083</v>
          </cell>
          <cell r="EV22">
            <v>96.212672978878359</v>
          </cell>
          <cell r="EY22">
            <v>100</v>
          </cell>
        </row>
        <row r="26">
          <cell r="CD26">
            <v>72.659558268531839</v>
          </cell>
          <cell r="CE26">
            <v>73.007911817999528</v>
          </cell>
          <cell r="CH26">
            <v>74.782886033939022</v>
          </cell>
          <cell r="CK26">
            <v>74.866666441328761</v>
          </cell>
          <cell r="CN26">
            <v>75.42687453600594</v>
          </cell>
          <cell r="CQ26">
            <v>72.531551596139579</v>
          </cell>
          <cell r="CT26">
            <v>71.269487750556806</v>
          </cell>
          <cell r="CW26">
            <v>77.876763177431343</v>
          </cell>
          <cell r="CZ26">
            <v>73.645137342242023</v>
          </cell>
          <cell r="DC26">
            <v>72.976985894580551</v>
          </cell>
          <cell r="DF26">
            <v>73.570898292501866</v>
          </cell>
          <cell r="DI26">
            <v>77.654046028210843</v>
          </cell>
          <cell r="DL26">
            <v>78.619153674832972</v>
          </cell>
          <cell r="DO26">
            <v>80.103934669636232</v>
          </cell>
          <cell r="DR26">
            <v>80.029695619896074</v>
          </cell>
          <cell r="DU26">
            <v>80.549368968077218</v>
          </cell>
          <cell r="DX26">
            <v>80.475129918337046</v>
          </cell>
          <cell r="EA26">
            <v>80.623608017817375</v>
          </cell>
          <cell r="ED26">
            <v>80.920564216778033</v>
          </cell>
          <cell r="EG26">
            <v>81.885671863400162</v>
          </cell>
          <cell r="EJ26">
            <v>82.999257609502607</v>
          </cell>
          <cell r="EM26">
            <v>83.296213808463264</v>
          </cell>
          <cell r="EP26">
            <v>84.706755753526352</v>
          </cell>
          <cell r="ES26">
            <v>84.780994803266523</v>
          </cell>
          <cell r="EV26">
            <v>98.292501855976255</v>
          </cell>
          <cell r="EY26">
            <v>99.8</v>
          </cell>
        </row>
        <row r="32">
          <cell r="CD32">
            <v>72.493097858952098</v>
          </cell>
          <cell r="CE32">
            <v>72.705118438533106</v>
          </cell>
          <cell r="CH32">
            <v>74.558420668642739</v>
          </cell>
          <cell r="CK32">
            <v>75.207452108991959</v>
          </cell>
          <cell r="CN32">
            <v>74.307692307692307</v>
          </cell>
          <cell r="CQ32">
            <v>76.230769230769226</v>
          </cell>
          <cell r="CT32">
            <v>73.692307692307693</v>
          </cell>
          <cell r="CW32">
            <v>72.461538461538467</v>
          </cell>
          <cell r="CZ32">
            <v>70.461538461538453</v>
          </cell>
          <cell r="DC32">
            <v>70.230769230769226</v>
          </cell>
          <cell r="DF32">
            <v>72.230769230769226</v>
          </cell>
          <cell r="DI32">
            <v>71.615384615384613</v>
          </cell>
          <cell r="DL32">
            <v>73.615384615384613</v>
          </cell>
          <cell r="DO32">
            <v>76.153846153846146</v>
          </cell>
          <cell r="DR32">
            <v>77.692307692307693</v>
          </cell>
          <cell r="DU32">
            <v>83.692307692307693</v>
          </cell>
          <cell r="DX32">
            <v>89</v>
          </cell>
          <cell r="EA32">
            <v>93.384615384615387</v>
          </cell>
          <cell r="ED32">
            <v>92.84615384615384</v>
          </cell>
          <cell r="EG32">
            <v>94.384615384615387</v>
          </cell>
          <cell r="EJ32">
            <v>95.230769230769226</v>
          </cell>
          <cell r="EM32">
            <v>95.076923076923066</v>
          </cell>
          <cell r="EP32">
            <v>89.384615384615387</v>
          </cell>
          <cell r="ES32">
            <v>93.692307692307679</v>
          </cell>
          <cell r="EV32">
            <v>94.692307692307693</v>
          </cell>
          <cell r="EY32">
            <v>100.2</v>
          </cell>
        </row>
        <row r="37">
          <cell r="CD37">
            <v>62.937699955606142</v>
          </cell>
          <cell r="CE37">
            <v>62.791081707438742</v>
          </cell>
          <cell r="CH37">
            <v>63.676456202003109</v>
          </cell>
          <cell r="CK37">
            <v>64.374481676555632</v>
          </cell>
          <cell r="CN37">
            <v>64.680589680589677</v>
          </cell>
          <cell r="CQ37">
            <v>64.312039312039303</v>
          </cell>
          <cell r="CT37">
            <v>62.653562653562645</v>
          </cell>
          <cell r="CW37">
            <v>74.754299754299751</v>
          </cell>
          <cell r="CZ37">
            <v>68.673218673218656</v>
          </cell>
          <cell r="DC37">
            <v>65.110565110565105</v>
          </cell>
          <cell r="DF37">
            <v>64.680589680589677</v>
          </cell>
          <cell r="DI37">
            <v>65.847665847665851</v>
          </cell>
          <cell r="DL37">
            <v>67.321867321867316</v>
          </cell>
          <cell r="DO37">
            <v>79.054054054054049</v>
          </cell>
          <cell r="DR37">
            <v>91.707616707616708</v>
          </cell>
          <cell r="DU37">
            <v>91.953316953316943</v>
          </cell>
          <cell r="DX37">
            <v>92.014742014742012</v>
          </cell>
          <cell r="EA37">
            <v>93.734643734643726</v>
          </cell>
          <cell r="ED37">
            <v>94.656019656019637</v>
          </cell>
          <cell r="EG37">
            <v>93.918918918918919</v>
          </cell>
          <cell r="EJ37">
            <v>95.085995085995094</v>
          </cell>
          <cell r="EM37">
            <v>96.253071253071241</v>
          </cell>
          <cell r="EP37">
            <v>96.375921375921365</v>
          </cell>
          <cell r="ES37">
            <v>96.683046683046683</v>
          </cell>
          <cell r="EV37">
            <v>100</v>
          </cell>
          <cell r="EY37">
            <v>100</v>
          </cell>
        </row>
        <row r="46">
          <cell r="CD46">
            <v>71.584324169176469</v>
          </cell>
          <cell r="CE46">
            <v>71.66822984575596</v>
          </cell>
          <cell r="CH46">
            <v>75.162096507042335</v>
          </cell>
          <cell r="CK46">
            <v>74.706614827218999</v>
          </cell>
          <cell r="CN46">
            <v>75.408670931058992</v>
          </cell>
          <cell r="CQ46">
            <v>75.69296375266525</v>
          </cell>
          <cell r="CT46">
            <v>74.626865671641795</v>
          </cell>
          <cell r="CW46">
            <v>77.540867093105902</v>
          </cell>
          <cell r="CZ46">
            <v>76.474769012082447</v>
          </cell>
          <cell r="DC46">
            <v>76.261549395877765</v>
          </cell>
          <cell r="DF46">
            <v>82.65813788201848</v>
          </cell>
          <cell r="DI46">
            <v>82.373845060412236</v>
          </cell>
          <cell r="DL46">
            <v>84.648187633262268</v>
          </cell>
          <cell r="DO46">
            <v>85.714285714285722</v>
          </cell>
          <cell r="DR46">
            <v>88.415067519545147</v>
          </cell>
          <cell r="DU46">
            <v>89.410092395167027</v>
          </cell>
          <cell r="DX46">
            <v>89.836531627576406</v>
          </cell>
          <cell r="EA46">
            <v>90.049751243781103</v>
          </cell>
          <cell r="ED46">
            <v>89.978678038379527</v>
          </cell>
          <cell r="EG46">
            <v>90.120824449182663</v>
          </cell>
          <cell r="EJ46">
            <v>91.82658137882018</v>
          </cell>
          <cell r="EM46">
            <v>92.181947405827998</v>
          </cell>
          <cell r="EP46">
            <v>95.238095238095241</v>
          </cell>
          <cell r="ES46">
            <v>95.380241648898362</v>
          </cell>
          <cell r="EV46">
            <v>98.152096659559348</v>
          </cell>
          <cell r="EY46">
            <v>101.2</v>
          </cell>
        </row>
        <row r="47">
          <cell r="CD47">
            <v>71.775900659893694</v>
          </cell>
          <cell r="CE47">
            <v>71.96895477109841</v>
          </cell>
          <cell r="CH47">
            <v>74.767807790309362</v>
          </cell>
          <cell r="CK47">
            <v>75.483055365050873</v>
          </cell>
          <cell r="CN47">
            <v>76.197183098591552</v>
          </cell>
          <cell r="CQ47">
            <v>78.591549295774641</v>
          </cell>
          <cell r="CT47">
            <v>80.91549295774648</v>
          </cell>
          <cell r="CW47">
            <v>81.197183098591552</v>
          </cell>
          <cell r="CZ47">
            <v>81.267605633802816</v>
          </cell>
          <cell r="DC47">
            <v>82.183098591549296</v>
          </cell>
          <cell r="DF47">
            <v>86.408450704225359</v>
          </cell>
          <cell r="DI47">
            <v>85.633802816901408</v>
          </cell>
          <cell r="DL47">
            <v>83.309859154929583</v>
          </cell>
          <cell r="DO47">
            <v>81.126760563380287</v>
          </cell>
          <cell r="DR47">
            <v>83.028169014084511</v>
          </cell>
          <cell r="DU47">
            <v>85.774647887323937</v>
          </cell>
          <cell r="DX47">
            <v>88.661971830985919</v>
          </cell>
          <cell r="EA47">
            <v>88.732394366197184</v>
          </cell>
          <cell r="ED47">
            <v>89.08450704225352</v>
          </cell>
          <cell r="EG47">
            <v>90.070422535211264</v>
          </cell>
          <cell r="EJ47">
            <v>92.535211267605632</v>
          </cell>
          <cell r="EM47">
            <v>94.507042253521121</v>
          </cell>
          <cell r="EP47">
            <v>96.901408450704224</v>
          </cell>
          <cell r="ES47">
            <v>100.70422535211267</v>
          </cell>
          <cell r="EV47">
            <v>98.098591549295776</v>
          </cell>
          <cell r="EY47">
            <v>107.3</v>
          </cell>
        </row>
        <row r="87">
          <cell r="CD87">
            <v>66.392820112561083</v>
          </cell>
          <cell r="CE87">
            <v>66.183452589731587</v>
          </cell>
          <cell r="CH87">
            <v>66.976188155212697</v>
          </cell>
          <cell r="CK87">
            <v>67.021441486264578</v>
          </cell>
          <cell r="CN87">
            <v>66.492829204693606</v>
          </cell>
          <cell r="CQ87">
            <v>64.797913950456319</v>
          </cell>
          <cell r="CT87">
            <v>65.840938722294652</v>
          </cell>
          <cell r="CW87">
            <v>66.558018252933508</v>
          </cell>
          <cell r="CZ87">
            <v>67.470664928292052</v>
          </cell>
          <cell r="DC87">
            <v>65.710560625814864</v>
          </cell>
          <cell r="DF87">
            <v>66.949152542372886</v>
          </cell>
          <cell r="DI87">
            <v>69.100391134289438</v>
          </cell>
          <cell r="DL87">
            <v>71.382007822685793</v>
          </cell>
          <cell r="DO87">
            <v>74.706649282920466</v>
          </cell>
          <cell r="DR87">
            <v>76.010430247718375</v>
          </cell>
          <cell r="DU87">
            <v>77.053455019556722</v>
          </cell>
          <cell r="DX87">
            <v>76.727509778357245</v>
          </cell>
          <cell r="EA87">
            <v>78.617992177314193</v>
          </cell>
          <cell r="ED87">
            <v>80.638852672750971</v>
          </cell>
          <cell r="EG87">
            <v>83.181225554106902</v>
          </cell>
          <cell r="EJ87">
            <v>87.940026075619286</v>
          </cell>
          <cell r="EM87">
            <v>90.026075619295952</v>
          </cell>
          <cell r="EP87">
            <v>90.286831812255542</v>
          </cell>
          <cell r="ES87">
            <v>91.329856584093861</v>
          </cell>
          <cell r="EV87">
            <v>97.131681877444592</v>
          </cell>
          <cell r="EY87">
            <v>100.8</v>
          </cell>
        </row>
      </sheetData>
      <sheetData sheetId="2"/>
      <sheetData sheetId="3" refreshError="1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"/>
      <sheetName val="QG"/>
      <sheetName val="AG"/>
      <sheetName val="MX"/>
      <sheetName val="QX"/>
      <sheetName val="AX"/>
    </sheetNames>
    <sheetDataSet>
      <sheetData sheetId="0"/>
      <sheetData sheetId="1">
        <row r="2">
          <cell r="X2" t="e">
            <v>#N/A</v>
          </cell>
          <cell r="Y2" t="e">
            <v>#N/A</v>
          </cell>
          <cell r="Z2" t="e">
            <v>#N/A</v>
          </cell>
          <cell r="AA2" t="e">
            <v>#N/A</v>
          </cell>
        </row>
        <row r="3">
          <cell r="X3" t="e">
            <v>#N/A</v>
          </cell>
          <cell r="Y3" t="e">
            <v>#N/A</v>
          </cell>
          <cell r="Z3" t="e">
            <v>#N/A</v>
          </cell>
          <cell r="AA3" t="e">
            <v>#N/A</v>
          </cell>
        </row>
        <row r="4">
          <cell r="X4" t="e">
            <v>#N/A</v>
          </cell>
          <cell r="Y4" t="e">
            <v>#N/A</v>
          </cell>
          <cell r="Z4" t="e">
            <v>#N/A</v>
          </cell>
          <cell r="AA4" t="e">
            <v>#N/A</v>
          </cell>
        </row>
        <row r="5">
          <cell r="X5" t="e">
            <v>#N/A</v>
          </cell>
          <cell r="Y5" t="e">
            <v>#N/A</v>
          </cell>
          <cell r="Z5" t="e">
            <v>#N/A</v>
          </cell>
          <cell r="AA5" t="e">
            <v>#N/A</v>
          </cell>
        </row>
        <row r="6">
          <cell r="X6" t="e">
            <v>#N/A</v>
          </cell>
          <cell r="Y6" t="e">
            <v>#N/A</v>
          </cell>
          <cell r="Z6" t="e">
            <v>#N/A</v>
          </cell>
          <cell r="AA6" t="e">
            <v>#N/A</v>
          </cell>
        </row>
        <row r="7">
          <cell r="X7" t="e">
            <v>#N/A</v>
          </cell>
          <cell r="Y7" t="e">
            <v>#N/A</v>
          </cell>
          <cell r="Z7" t="e">
            <v>#N/A</v>
          </cell>
          <cell r="AA7" t="e">
            <v>#N/A</v>
          </cell>
        </row>
        <row r="8">
          <cell r="X8" t="e">
            <v>#N/A</v>
          </cell>
          <cell r="Y8" t="e">
            <v>#N/A</v>
          </cell>
          <cell r="Z8" t="e">
            <v>#N/A</v>
          </cell>
          <cell r="AA8" t="e">
            <v>#N/A</v>
          </cell>
        </row>
        <row r="9">
          <cell r="X9" t="e">
            <v>#N/A</v>
          </cell>
          <cell r="Y9" t="e">
            <v>#N/A</v>
          </cell>
          <cell r="Z9" t="e">
            <v>#N/A</v>
          </cell>
          <cell r="AA9" t="e">
            <v>#N/A</v>
          </cell>
        </row>
        <row r="17"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</row>
        <row r="25">
          <cell r="X25" t="e">
            <v>#N/A</v>
          </cell>
          <cell r="Y25" t="e">
            <v>#N/A</v>
          </cell>
          <cell r="Z25" t="e">
            <v>#N/A</v>
          </cell>
          <cell r="AA25" t="e">
            <v>#N/A</v>
          </cell>
        </row>
      </sheetData>
      <sheetData sheetId="2"/>
      <sheetData sheetId="3"/>
      <sheetData sheetId="4">
        <row r="2">
          <cell r="E2">
            <v>94.618916699450992</v>
          </cell>
          <cell r="F2">
            <v>96.777371746633534</v>
          </cell>
          <cell r="G2">
            <v>96.844063451021839</v>
          </cell>
          <cell r="H2">
            <v>99.641442929483048</v>
          </cell>
          <cell r="I2">
            <v>99.781904434197941</v>
          </cell>
          <cell r="J2">
            <v>99.755331876483709</v>
          </cell>
          <cell r="K2">
            <v>101.00811306918204</v>
          </cell>
          <cell r="L2">
            <v>101.61935586620451</v>
          </cell>
          <cell r="M2">
            <v>103.04582298296033</v>
          </cell>
          <cell r="N2">
            <v>102.78629776212729</v>
          </cell>
          <cell r="O2">
            <v>105.26815041777809</v>
          </cell>
          <cell r="P2">
            <v>106.20216868609388</v>
          </cell>
          <cell r="Q2">
            <v>103.61723700555198</v>
          </cell>
          <cell r="R2">
            <v>106.1240223214845</v>
          </cell>
          <cell r="S2">
            <v>106.94963614453786</v>
          </cell>
          <cell r="T2">
            <v>107.80381485829112</v>
          </cell>
          <cell r="U2">
            <v>107.62273353572</v>
          </cell>
          <cell r="V2">
            <v>107.31850721745089</v>
          </cell>
          <cell r="W2">
            <v>107.35422649700972</v>
          </cell>
          <cell r="X2">
            <v>106.0917874523127</v>
          </cell>
          <cell r="Y2">
            <v>106.8061251575861</v>
          </cell>
          <cell r="Z2">
            <v>107.93695197837603</v>
          </cell>
          <cell r="AA2" t="e">
            <v>#N/A</v>
          </cell>
          <cell r="AB2" t="e">
            <v>#N/A</v>
          </cell>
          <cell r="AC2" t="e">
            <v>#N/A</v>
          </cell>
          <cell r="AD2" t="e">
            <v>#N/A</v>
          </cell>
          <cell r="AE2" t="e">
            <v>#N/A</v>
          </cell>
          <cell r="AF2" t="e">
            <v>#N/A</v>
          </cell>
        </row>
        <row r="3">
          <cell r="E3">
            <v>91.897797164480281</v>
          </cell>
          <cell r="F3">
            <v>93.64876220887443</v>
          </cell>
          <cell r="G3">
            <v>93.898911209344533</v>
          </cell>
          <cell r="H3">
            <v>96.992593900347018</v>
          </cell>
          <cell r="I3">
            <v>99.553206566284715</v>
          </cell>
          <cell r="J3">
            <v>103.14703491929872</v>
          </cell>
          <cell r="K3">
            <v>102.85190487373239</v>
          </cell>
          <cell r="L3">
            <v>104.41572881310439</v>
          </cell>
          <cell r="M3">
            <v>101.4359216952863</v>
          </cell>
          <cell r="N3">
            <v>106.45668475017406</v>
          </cell>
          <cell r="O3">
            <v>109.47687519474989</v>
          </cell>
          <cell r="P3">
            <v>106.45079540389825</v>
          </cell>
          <cell r="Q3">
            <v>109.84399399249814</v>
          </cell>
          <cell r="R3">
            <v>109.4158696359106</v>
          </cell>
          <cell r="S3">
            <v>115.08115204673707</v>
          </cell>
          <cell r="T3">
            <v>117.77508588950705</v>
          </cell>
          <cell r="U3">
            <v>116.2594877488665</v>
          </cell>
          <cell r="V3">
            <v>114.20580139102258</v>
          </cell>
          <cell r="W3">
            <v>113.44865514274773</v>
          </cell>
          <cell r="X3">
            <v>109.92496484749152</v>
          </cell>
          <cell r="Y3">
            <v>109.43093732366974</v>
          </cell>
          <cell r="Z3">
            <v>111.96901609832565</v>
          </cell>
          <cell r="AA3" t="e">
            <v>#N/A</v>
          </cell>
          <cell r="AB3" t="e">
            <v>#N/A</v>
          </cell>
          <cell r="AC3" t="e">
            <v>#N/A</v>
          </cell>
          <cell r="AD3" t="e">
            <v>#N/A</v>
          </cell>
          <cell r="AE3" t="e">
            <v>#N/A</v>
          </cell>
          <cell r="AF3" t="e">
            <v>#N/A</v>
          </cell>
        </row>
        <row r="4">
          <cell r="E4">
            <v>95.227106593618842</v>
          </cell>
          <cell r="F4">
            <v>94.757863555827825</v>
          </cell>
          <cell r="G4">
            <v>98.05829456116065</v>
          </cell>
          <cell r="H4">
            <v>100.98662920344175</v>
          </cell>
          <cell r="I4">
            <v>98.856194700288896</v>
          </cell>
          <cell r="J4">
            <v>99.204039407846551</v>
          </cell>
          <cell r="K4">
            <v>100.14754848960568</v>
          </cell>
          <cell r="L4">
            <v>102.86845127810601</v>
          </cell>
          <cell r="M4">
            <v>98.205907078935581</v>
          </cell>
          <cell r="N4">
            <v>100.64085679549989</v>
          </cell>
          <cell r="O4">
            <v>102.07247070532799</v>
          </cell>
          <cell r="P4">
            <v>102.87294650884064</v>
          </cell>
          <cell r="Q4">
            <v>102.65260525764113</v>
          </cell>
          <cell r="R4">
            <v>104.81837015128293</v>
          </cell>
          <cell r="S4">
            <v>107.76602940862421</v>
          </cell>
          <cell r="T4">
            <v>107.41908893162163</v>
          </cell>
          <cell r="U4">
            <v>112.02032773803124</v>
          </cell>
          <cell r="V4">
            <v>112.83575347743077</v>
          </cell>
          <cell r="W4">
            <v>112.52192816148255</v>
          </cell>
          <cell r="X4">
            <v>109.6274598125126</v>
          </cell>
          <cell r="Y4">
            <v>110.58465088655579</v>
          </cell>
          <cell r="Z4">
            <v>111.09924524144994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e">
            <v>#N/A</v>
          </cell>
        </row>
        <row r="5">
          <cell r="E5">
            <v>105.39448835727575</v>
          </cell>
          <cell r="F5">
            <v>104.43049207460085</v>
          </cell>
          <cell r="G5">
            <v>101.59033128511805</v>
          </cell>
          <cell r="H5">
            <v>99.43828528185982</v>
          </cell>
          <cell r="I5">
            <v>97.88442397026796</v>
          </cell>
          <cell r="J5">
            <v>99.579129658292103</v>
          </cell>
          <cell r="K5">
            <v>103.18410922066205</v>
          </cell>
          <cell r="L5">
            <v>103.94656787277451</v>
          </cell>
          <cell r="M5">
            <v>101.50298356001292</v>
          </cell>
          <cell r="N5">
            <v>99.511897358569612</v>
          </cell>
          <cell r="O5">
            <v>101.33779958094362</v>
          </cell>
          <cell r="P5">
            <v>103.22145761916939</v>
          </cell>
          <cell r="Q5">
            <v>106.86835102317401</v>
          </cell>
          <cell r="R5">
            <v>104.1613519692059</v>
          </cell>
          <cell r="S5">
            <v>106.12189419792746</v>
          </cell>
          <cell r="T5">
            <v>101.64671456789928</v>
          </cell>
          <cell r="U5">
            <v>98.899969003380704</v>
          </cell>
          <cell r="V5">
            <v>97.728539858199142</v>
          </cell>
          <cell r="W5">
            <v>96.618562506681727</v>
          </cell>
          <cell r="X5">
            <v>95.940511174020386</v>
          </cell>
          <cell r="Y5">
            <v>96.623841470753618</v>
          </cell>
          <cell r="Z5">
            <v>97.105086296304535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e">
            <v>#N/A</v>
          </cell>
        </row>
        <row r="6">
          <cell r="E6">
            <v>96.936449060197674</v>
          </cell>
          <cell r="F6">
            <v>100.31213690857385</v>
          </cell>
          <cell r="G6">
            <v>100.20276128797788</v>
          </cell>
          <cell r="H6">
            <v>96.849648227193541</v>
          </cell>
          <cell r="I6">
            <v>100.70020728706173</v>
          </cell>
          <cell r="J6">
            <v>101.32851624786451</v>
          </cell>
          <cell r="K6">
            <v>101.3966597899062</v>
          </cell>
          <cell r="L6">
            <v>103.1608961288009</v>
          </cell>
          <cell r="M6">
            <v>105.16948193471033</v>
          </cell>
          <cell r="N6">
            <v>105.13462989612223</v>
          </cell>
          <cell r="O6">
            <v>105.1350093437224</v>
          </cell>
          <cell r="P6">
            <v>107.57688037059138</v>
          </cell>
          <cell r="Q6">
            <v>109.74191443594221</v>
          </cell>
          <cell r="R6">
            <v>108.76511035854328</v>
          </cell>
          <cell r="S6">
            <v>107.33834626232715</v>
          </cell>
          <cell r="T6">
            <v>108.77912098075275</v>
          </cell>
          <cell r="U6">
            <v>107.24918741117928</v>
          </cell>
          <cell r="V6">
            <v>107.1863729877975</v>
          </cell>
          <cell r="W6">
            <v>106.46351107462574</v>
          </cell>
          <cell r="X6">
            <v>106.48248345463496</v>
          </cell>
          <cell r="Y6">
            <v>106.49084478163144</v>
          </cell>
          <cell r="Z6">
            <v>106.48287638202758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</row>
        <row r="7">
          <cell r="E7">
            <v>82.553176824977058</v>
          </cell>
          <cell r="F7">
            <v>92.328980186874517</v>
          </cell>
          <cell r="G7">
            <v>96.817804264435537</v>
          </cell>
          <cell r="H7">
            <v>99.783369675074894</v>
          </cell>
          <cell r="I7">
            <v>99.383741175999759</v>
          </cell>
          <cell r="J7">
            <v>100.69459567694712</v>
          </cell>
          <cell r="K7">
            <v>100.84127385228108</v>
          </cell>
          <cell r="L7">
            <v>101.48358394705207</v>
          </cell>
          <cell r="M7">
            <v>104.17397013377358</v>
          </cell>
          <cell r="N7">
            <v>106.15078346615765</v>
          </cell>
          <cell r="O7">
            <v>106.25704948848342</v>
          </cell>
          <cell r="P7">
            <v>107.63421361449188</v>
          </cell>
          <cell r="Q7">
            <v>108.09971741195277</v>
          </cell>
          <cell r="R7">
            <v>106.87052244584631</v>
          </cell>
          <cell r="S7">
            <v>107.82139899910261</v>
          </cell>
          <cell r="T7">
            <v>111.1312411493513</v>
          </cell>
          <cell r="U7">
            <v>111.60138855028173</v>
          </cell>
          <cell r="V7">
            <v>114.28316687724559</v>
          </cell>
          <cell r="W7">
            <v>113.06693348638676</v>
          </cell>
          <cell r="X7">
            <v>112.1565532694429</v>
          </cell>
          <cell r="Y7">
            <v>113.03589728076794</v>
          </cell>
          <cell r="Z7">
            <v>114.98604610533253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</row>
        <row r="8">
          <cell r="E8">
            <v>91.676709066904138</v>
          </cell>
          <cell r="F8">
            <v>94.741942595479927</v>
          </cell>
          <cell r="G8">
            <v>104.20473906474628</v>
          </cell>
          <cell r="H8">
            <v>101.36598188462506</v>
          </cell>
          <cell r="I8">
            <v>97.746033866256042</v>
          </cell>
          <cell r="J8">
            <v>99.149373848656296</v>
          </cell>
          <cell r="K8">
            <v>101.23986062533574</v>
          </cell>
          <cell r="L8">
            <v>105.56050638968655</v>
          </cell>
          <cell r="M8">
            <v>109.09579702477468</v>
          </cell>
          <cell r="N8">
            <v>109.02600428633444</v>
          </cell>
          <cell r="O8">
            <v>108.62220539236415</v>
          </cell>
          <cell r="P8">
            <v>110.61533235487802</v>
          </cell>
          <cell r="Q8">
            <v>110.9343375550938</v>
          </cell>
          <cell r="R8">
            <v>111.59119725903156</v>
          </cell>
          <cell r="S8">
            <v>111.6565877643946</v>
          </cell>
          <cell r="T8">
            <v>111.88720077827985</v>
          </cell>
          <cell r="U8">
            <v>111.71872975933466</v>
          </cell>
          <cell r="V8">
            <v>109.65775323889333</v>
          </cell>
          <cell r="W8">
            <v>109.96059076460448</v>
          </cell>
          <cell r="X8">
            <v>109.54002162869325</v>
          </cell>
          <cell r="Y8">
            <v>109.62985185720912</v>
          </cell>
          <cell r="Z8">
            <v>109.49106353730581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</row>
        <row r="9">
          <cell r="E9">
            <v>94.032966322063317</v>
          </cell>
          <cell r="F9">
            <v>96.385152945161124</v>
          </cell>
          <cell r="G9">
            <v>98.131731049343003</v>
          </cell>
          <cell r="H9">
            <v>99.667224935517879</v>
          </cell>
          <cell r="I9">
            <v>99.272130290366874</v>
          </cell>
          <cell r="J9">
            <v>100.03304906565053</v>
          </cell>
          <cell r="K9">
            <v>101.20432327513572</v>
          </cell>
          <cell r="L9">
            <v>102.69491917314929</v>
          </cell>
          <cell r="M9">
            <v>102.80764362324658</v>
          </cell>
          <cell r="N9">
            <v>103.52165798270347</v>
          </cell>
          <cell r="O9">
            <v>105.14161596028828</v>
          </cell>
          <cell r="P9">
            <v>106.07101349107688</v>
          </cell>
          <cell r="Q9">
            <v>105.71792891462893</v>
          </cell>
          <cell r="R9">
            <v>106.76065327123735</v>
          </cell>
          <cell r="S9">
            <v>108.20416820122692</v>
          </cell>
          <cell r="T9">
            <v>108.7841020431372</v>
          </cell>
          <cell r="U9">
            <v>109.09663867473769</v>
          </cell>
          <cell r="V9">
            <v>108.92381871109869</v>
          </cell>
          <cell r="W9">
            <v>108.60293788775896</v>
          </cell>
          <cell r="X9">
            <v>107.1344507385798</v>
          </cell>
          <cell r="Y9">
            <v>107.70924234150674</v>
          </cell>
          <cell r="Z9">
            <v>108.67690164288224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</row>
        <row r="17">
          <cell r="E17">
            <v>89.950756436180825</v>
          </cell>
          <cell r="F17">
            <v>92.316667256707674</v>
          </cell>
          <cell r="G17">
            <v>96.284291826839919</v>
          </cell>
          <cell r="H17">
            <v>99.763240112174216</v>
          </cell>
          <cell r="I17">
            <v>99.32546782428183</v>
          </cell>
          <cell r="J17">
            <v>99.942655311557587</v>
          </cell>
          <cell r="K17">
            <v>100.24912001307531</v>
          </cell>
          <cell r="L17">
            <v>101.69557107206055</v>
          </cell>
          <cell r="M17">
            <v>102.15051634978074</v>
          </cell>
          <cell r="N17">
            <v>102.56795830605597</v>
          </cell>
          <cell r="O17">
            <v>105.76309931149551</v>
          </cell>
          <cell r="P17">
            <v>106.78473142034488</v>
          </cell>
          <cell r="Q17">
            <v>106.51880430065644</v>
          </cell>
          <cell r="R17">
            <v>108.48800469345547</v>
          </cell>
          <cell r="S17">
            <v>109.69821525607809</v>
          </cell>
          <cell r="T17">
            <v>112.36546033568523</v>
          </cell>
          <cell r="U17">
            <v>113.45360847238959</v>
          </cell>
          <cell r="V17">
            <v>113.63028907199993</v>
          </cell>
          <cell r="W17">
            <v>112.79459501139159</v>
          </cell>
          <cell r="X17">
            <v>112.76781654308085</v>
          </cell>
          <cell r="Y17">
            <v>112.93610248430822</v>
          </cell>
          <cell r="Z17">
            <v>112.91325568244879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</row>
        <row r="25">
          <cell r="E25">
            <v>96.141191348696495</v>
          </cell>
          <cell r="F25">
            <v>98.486290218518718</v>
          </cell>
          <cell r="G25">
            <v>99.085826432222646</v>
          </cell>
          <cell r="H25">
            <v>99.617638656511687</v>
          </cell>
          <cell r="I25">
            <v>99.24458454259775</v>
          </cell>
          <cell r="J25">
            <v>100.07973220541017</v>
          </cell>
          <cell r="K25">
            <v>101.69763044916459</v>
          </cell>
          <cell r="L25">
            <v>103.2110246003396</v>
          </cell>
          <cell r="M25">
            <v>103.14701180918796</v>
          </cell>
          <cell r="N25">
            <v>104.01418864193147</v>
          </cell>
          <cell r="O25">
            <v>104.82065579624044</v>
          </cell>
          <cell r="P25">
            <v>105.70241950828283</v>
          </cell>
          <cell r="Q25">
            <v>105.30432315225077</v>
          </cell>
          <cell r="R25">
            <v>105.86857628354882</v>
          </cell>
          <cell r="S25">
            <v>107.43257940984732</v>
          </cell>
          <cell r="T25">
            <v>106.93453786276507</v>
          </cell>
          <cell r="U25">
            <v>106.8465160635853</v>
          </cell>
          <cell r="V25">
            <v>106.49319929677773</v>
          </cell>
          <cell r="W25">
            <v>106.43818970034511</v>
          </cell>
          <cell r="X25">
            <v>104.22514349930726</v>
          </cell>
          <cell r="Y25">
            <v>105.00987173788506</v>
          </cell>
          <cell r="Z25">
            <v>106.48907008655345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"/>
  <sheetViews>
    <sheetView workbookViewId="0">
      <selection activeCell="J21" sqref="J21"/>
    </sheetView>
  </sheetViews>
  <sheetFormatPr defaultRowHeight="10.199999999999999" x14ac:dyDescent="0.2"/>
  <cols>
    <col min="1" max="1" width="3.33203125" customWidth="1"/>
  </cols>
  <sheetData>
    <row r="1" spans="1:9" x14ac:dyDescent="0.2">
      <c r="A1" s="489" t="s">
        <v>136</v>
      </c>
    </row>
    <row r="2" spans="1:9" x14ac:dyDescent="0.2">
      <c r="A2" s="489">
        <v>1</v>
      </c>
      <c r="B2" s="489" t="s">
        <v>146</v>
      </c>
      <c r="C2" s="489"/>
      <c r="D2" s="489"/>
      <c r="E2" s="489"/>
      <c r="F2" s="489"/>
      <c r="G2" s="489"/>
      <c r="H2" s="489"/>
      <c r="I2" s="489"/>
    </row>
    <row r="3" spans="1:9" x14ac:dyDescent="0.2">
      <c r="A3" s="489">
        <v>2</v>
      </c>
      <c r="B3" s="489" t="s">
        <v>137</v>
      </c>
      <c r="C3" s="489"/>
      <c r="D3" s="489"/>
      <c r="E3" s="489"/>
      <c r="F3" s="489"/>
      <c r="G3" s="489"/>
      <c r="H3" s="489"/>
      <c r="I3" s="489"/>
    </row>
    <row r="4" spans="1:9" x14ac:dyDescent="0.2">
      <c r="A4" s="489">
        <v>3</v>
      </c>
      <c r="B4" s="489" t="s">
        <v>138</v>
      </c>
      <c r="C4" s="489"/>
      <c r="D4" s="489"/>
      <c r="E4" s="489"/>
      <c r="F4" s="489"/>
      <c r="G4" s="489"/>
      <c r="H4" s="489"/>
      <c r="I4" s="489"/>
    </row>
    <row r="5" spans="1:9" x14ac:dyDescent="0.2">
      <c r="A5" s="489">
        <v>4</v>
      </c>
      <c r="B5" s="489" t="s">
        <v>139</v>
      </c>
      <c r="C5" s="489"/>
      <c r="D5" s="489"/>
      <c r="E5" s="489"/>
      <c r="F5" s="489"/>
      <c r="G5" s="489"/>
      <c r="H5" s="489"/>
      <c r="I5" s="489"/>
    </row>
    <row r="6" spans="1:9" s="489" customFormat="1" x14ac:dyDescent="0.2">
      <c r="A6" s="489">
        <v>5</v>
      </c>
      <c r="B6" s="489" t="s">
        <v>147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6" transitionEvaluation="1">
    <tabColor rgb="FF92D050"/>
    <pageSetUpPr fitToPage="1"/>
  </sheetPr>
  <dimension ref="A1:BD138"/>
  <sheetViews>
    <sheetView showGridLines="0" showOutlineSymbols="0" zoomScaleNormal="100" zoomScaleSheetLayoutView="110" workbookViewId="0">
      <pane xSplit="1" ySplit="5" topLeftCell="B6" activePane="bottomRight" state="frozen"/>
      <selection activeCell="F113" sqref="F113"/>
      <selection pane="topRight" activeCell="F113" sqref="F113"/>
      <selection pane="bottomLeft" activeCell="F113" sqref="F113"/>
      <selection pane="bottomRight" activeCell="E33" sqref="E33"/>
    </sheetView>
  </sheetViews>
  <sheetFormatPr defaultColWidth="14" defaultRowHeight="10.199999999999999" x14ac:dyDescent="0.2"/>
  <cols>
    <col min="1" max="1" width="14.83203125" style="747" customWidth="1"/>
    <col min="2" max="2" width="14.1640625" style="12" customWidth="1"/>
    <col min="3" max="3" width="12" style="12" customWidth="1"/>
    <col min="4" max="5" width="13" style="12" customWidth="1"/>
    <col min="6" max="6" width="12" style="12" customWidth="1"/>
    <col min="7" max="7" width="12.83203125" style="12" customWidth="1"/>
    <col min="8" max="8" width="11.33203125" style="12" customWidth="1"/>
    <col min="9" max="9" width="14.33203125" style="12" customWidth="1"/>
    <col min="10" max="10" width="14" style="707"/>
    <col min="11" max="11" width="13" style="12" customWidth="1"/>
    <col min="12" max="45" width="14" style="12"/>
    <col min="46" max="46" width="1" style="12" customWidth="1"/>
    <col min="47" max="47" width="5.6640625" style="12" hidden="1" customWidth="1"/>
    <col min="48" max="48" width="4.33203125" style="12" hidden="1" customWidth="1"/>
    <col min="49" max="49" width="4.83203125" style="12" hidden="1" customWidth="1"/>
    <col min="50" max="50" width="4.1640625" style="12" hidden="1" customWidth="1"/>
    <col min="51" max="51" width="4" style="12" hidden="1" customWidth="1"/>
    <col min="52" max="52" width="4.33203125" style="12" hidden="1" customWidth="1"/>
    <col min="53" max="53" width="5" style="12" hidden="1" customWidth="1"/>
    <col min="54" max="54" width="5.33203125" style="12" hidden="1" customWidth="1"/>
    <col min="55" max="55" width="5.83203125" style="12" hidden="1" customWidth="1"/>
    <col min="56" max="56" width="4.6640625" style="12" hidden="1" customWidth="1"/>
    <col min="57" max="16384" width="14" style="12"/>
  </cols>
  <sheetData>
    <row r="1" spans="1:14" ht="20.100000000000001" customHeight="1" x14ac:dyDescent="0.2">
      <c r="A1" s="748"/>
      <c r="B1" s="50"/>
      <c r="C1" s="49"/>
      <c r="D1" s="49"/>
      <c r="E1" s="49"/>
      <c r="F1" s="49"/>
      <c r="G1" s="49"/>
      <c r="H1" s="49"/>
      <c r="I1" s="672" t="s">
        <v>298</v>
      </c>
    </row>
    <row r="2" spans="1:14" ht="15" customHeight="1" x14ac:dyDescent="0.25">
      <c r="A2" s="833" t="s">
        <v>151</v>
      </c>
      <c r="B2" s="833"/>
      <c r="C2" s="833"/>
      <c r="D2" s="833"/>
      <c r="E2" s="833"/>
      <c r="F2" s="833"/>
      <c r="G2" s="833"/>
      <c r="H2" s="833"/>
      <c r="I2" s="833"/>
    </row>
    <row r="3" spans="1:14" ht="15" customHeight="1" x14ac:dyDescent="0.2">
      <c r="A3" s="749"/>
      <c r="B3" s="53"/>
      <c r="C3" s="54"/>
      <c r="D3" s="54"/>
      <c r="E3" s="54"/>
      <c r="F3" s="54"/>
      <c r="G3" s="54"/>
      <c r="H3" s="54"/>
      <c r="I3" s="54"/>
    </row>
    <row r="4" spans="1:14" ht="15" customHeight="1" x14ac:dyDescent="0.2">
      <c r="A4" s="743" t="s">
        <v>6</v>
      </c>
      <c r="B4" s="19" t="s">
        <v>39</v>
      </c>
      <c r="C4" s="19" t="s">
        <v>40</v>
      </c>
      <c r="D4" s="19" t="s">
        <v>41</v>
      </c>
      <c r="E4" s="19" t="s">
        <v>42</v>
      </c>
      <c r="F4" s="19" t="s">
        <v>43</v>
      </c>
      <c r="G4" s="19" t="s">
        <v>44</v>
      </c>
      <c r="H4" s="19" t="s">
        <v>45</v>
      </c>
      <c r="I4" s="20" t="s">
        <v>46</v>
      </c>
    </row>
    <row r="5" spans="1:14" ht="15" customHeight="1" x14ac:dyDescent="0.2">
      <c r="A5" s="745"/>
      <c r="B5" s="23"/>
      <c r="C5" s="24" t="s">
        <v>195</v>
      </c>
      <c r="D5" s="23"/>
      <c r="E5" s="23"/>
      <c r="F5" s="23"/>
      <c r="G5" s="653" t="s">
        <v>48</v>
      </c>
      <c r="H5" s="23"/>
      <c r="I5" s="708"/>
      <c r="J5" s="711" t="s">
        <v>193</v>
      </c>
    </row>
    <row r="6" spans="1:14" ht="15" customHeight="1" x14ac:dyDescent="0.2">
      <c r="A6" s="722" t="s">
        <v>148</v>
      </c>
      <c r="B6" s="827">
        <f>SUM(B31:B34)</f>
        <v>3271.8320000000003</v>
      </c>
      <c r="C6" s="827">
        <f t="shared" ref="C6:I6" si="0">SUM(C31:C34)</f>
        <v>963.29000000000008</v>
      </c>
      <c r="D6" s="827">
        <f t="shared" si="0"/>
        <v>1689.7800000000002</v>
      </c>
      <c r="E6" s="827">
        <f t="shared" si="0"/>
        <v>49.125000000000007</v>
      </c>
      <c r="F6" s="827">
        <f t="shared" si="0"/>
        <v>364.96000000000004</v>
      </c>
      <c r="G6" s="827">
        <f t="shared" si="0"/>
        <v>28.160999999999852</v>
      </c>
      <c r="H6" s="827">
        <f t="shared" si="0"/>
        <v>175.423</v>
      </c>
      <c r="I6" s="810">
        <f t="shared" si="0"/>
        <v>1.093</v>
      </c>
      <c r="J6" s="711"/>
    </row>
    <row r="7" spans="1:14" s="592" customFormat="1" ht="13.5" customHeight="1" x14ac:dyDescent="0.2">
      <c r="A7" s="722" t="s">
        <v>149</v>
      </c>
      <c r="B7" s="585">
        <f>SUM(B35:B38)</f>
        <v>2362.5610999999999</v>
      </c>
      <c r="C7" s="585">
        <f t="shared" ref="C7:I7" si="1">SUM(C35:C38)</f>
        <v>971.03300000000002</v>
      </c>
      <c r="D7" s="585">
        <f t="shared" si="1"/>
        <v>736.26000000000022</v>
      </c>
      <c r="E7" s="585">
        <f t="shared" si="1"/>
        <v>69.054000000000002</v>
      </c>
      <c r="F7" s="585">
        <f t="shared" si="1"/>
        <v>374.41</v>
      </c>
      <c r="G7" s="585">
        <f t="shared" si="1"/>
        <v>66.219999999999843</v>
      </c>
      <c r="H7" s="585">
        <f t="shared" si="1"/>
        <v>145.0641</v>
      </c>
      <c r="I7" s="591">
        <f t="shared" si="1"/>
        <v>0.52</v>
      </c>
      <c r="J7" s="710">
        <f t="shared" ref="J7:J27" si="2">B7-C7-D7-E7-F7-G7-H7-I7</f>
        <v>-7.5051076464660582E-14</v>
      </c>
      <c r="K7" s="599"/>
    </row>
    <row r="8" spans="1:14" s="592" customFormat="1" ht="13.5" customHeight="1" x14ac:dyDescent="0.2">
      <c r="A8" s="722" t="s">
        <v>152</v>
      </c>
      <c r="B8" s="585">
        <f>SUM(B39:B42)</f>
        <v>1658.0630000000001</v>
      </c>
      <c r="C8" s="585">
        <f t="shared" ref="C8:I8" si="3">SUM(C39:C40,C41:C42)</f>
        <v>738.03000000000009</v>
      </c>
      <c r="D8" s="585">
        <f t="shared" si="3"/>
        <v>229.56</v>
      </c>
      <c r="E8" s="585">
        <f t="shared" si="3"/>
        <v>51.597000000000001</v>
      </c>
      <c r="F8" s="585">
        <f t="shared" si="3"/>
        <v>159.05000000000001</v>
      </c>
      <c r="G8" s="585">
        <f t="shared" si="3"/>
        <v>127.96999999999993</v>
      </c>
      <c r="H8" s="585">
        <f t="shared" si="3"/>
        <v>345.33600000000001</v>
      </c>
      <c r="I8" s="591">
        <f t="shared" si="3"/>
        <v>6.52</v>
      </c>
      <c r="J8" s="710">
        <f t="shared" si="2"/>
        <v>3.907985046680551E-14</v>
      </c>
      <c r="K8" s="599"/>
    </row>
    <row r="9" spans="1:14" ht="14.1" customHeight="1" x14ac:dyDescent="0.2">
      <c r="A9" s="723" t="s">
        <v>153</v>
      </c>
      <c r="B9" s="585">
        <f>SUM(B43:B46)</f>
        <v>1708.252</v>
      </c>
      <c r="C9" s="404">
        <f t="shared" ref="C9:I9" si="4">SUM(C43:C44,C45:C46)</f>
        <v>781.8</v>
      </c>
      <c r="D9" s="404">
        <f t="shared" si="4"/>
        <v>166.89</v>
      </c>
      <c r="E9" s="404">
        <f t="shared" si="4"/>
        <v>69.312000000000012</v>
      </c>
      <c r="F9" s="404">
        <f t="shared" si="4"/>
        <v>376.65</v>
      </c>
      <c r="G9" s="404">
        <f t="shared" si="4"/>
        <v>63.15000000000002</v>
      </c>
      <c r="H9" s="404">
        <f t="shared" si="4"/>
        <v>245.68999999999994</v>
      </c>
      <c r="I9" s="407">
        <f t="shared" si="4"/>
        <v>4.76</v>
      </c>
      <c r="J9" s="710">
        <f t="shared" si="2"/>
        <v>4.7961634663806763E-14</v>
      </c>
      <c r="K9" s="34"/>
    </row>
    <row r="10" spans="1:14" ht="14.1" customHeight="1" x14ac:dyDescent="0.2">
      <c r="A10" s="723" t="s">
        <v>154</v>
      </c>
      <c r="B10" s="585">
        <f t="shared" ref="B10:I10" si="5">SUM(B47:B50)</f>
        <v>1718.049</v>
      </c>
      <c r="C10" s="404">
        <f t="shared" si="5"/>
        <v>949.19</v>
      </c>
      <c r="D10" s="404">
        <f t="shared" si="5"/>
        <v>176.76</v>
      </c>
      <c r="E10" s="404">
        <f t="shared" si="5"/>
        <v>86.528999999999996</v>
      </c>
      <c r="F10" s="404">
        <f t="shared" si="5"/>
        <v>242.72000000000003</v>
      </c>
      <c r="G10" s="404">
        <f t="shared" si="5"/>
        <v>76.409999999999954</v>
      </c>
      <c r="H10" s="404">
        <f t="shared" si="5"/>
        <v>183.96</v>
      </c>
      <c r="I10" s="407">
        <f t="shared" si="5"/>
        <v>2.48</v>
      </c>
      <c r="J10" s="710">
        <f t="shared" si="2"/>
        <v>-6.7057470687359455E-14</v>
      </c>
      <c r="K10" s="34"/>
    </row>
    <row r="11" spans="1:14" ht="14.1" customHeight="1" x14ac:dyDescent="0.2">
      <c r="A11" s="723" t="s">
        <v>155</v>
      </c>
      <c r="B11" s="585">
        <f t="shared" ref="B11:I11" si="6">SUM(B51:B54)</f>
        <v>1903.002</v>
      </c>
      <c r="C11" s="404">
        <f t="shared" si="6"/>
        <v>965.37000000000012</v>
      </c>
      <c r="D11" s="404">
        <f t="shared" si="6"/>
        <v>220.59000000000003</v>
      </c>
      <c r="E11" s="404">
        <f t="shared" si="6"/>
        <v>67.97</v>
      </c>
      <c r="F11" s="404">
        <f t="shared" si="6"/>
        <v>411.36</v>
      </c>
      <c r="G11" s="404">
        <f t="shared" si="6"/>
        <v>43.599999999999994</v>
      </c>
      <c r="H11" s="404">
        <f t="shared" si="6"/>
        <v>192.34199999999998</v>
      </c>
      <c r="I11" s="407">
        <f t="shared" si="6"/>
        <v>1.77</v>
      </c>
      <c r="J11" s="710">
        <f t="shared" si="2"/>
        <v>-2.1715962361668062E-13</v>
      </c>
      <c r="K11" s="34"/>
      <c r="N11" s="42"/>
    </row>
    <row r="12" spans="1:14" ht="14.1" customHeight="1" x14ac:dyDescent="0.2">
      <c r="A12" s="723" t="s">
        <v>156</v>
      </c>
      <c r="B12" s="585">
        <f t="shared" ref="B12:I12" si="7">SUM(B55:B58)</f>
        <v>1279.979</v>
      </c>
      <c r="C12" s="404">
        <f t="shared" si="7"/>
        <v>543.72</v>
      </c>
      <c r="D12" s="404">
        <f t="shared" si="7"/>
        <v>202.11</v>
      </c>
      <c r="E12" s="404">
        <f t="shared" si="7"/>
        <v>29.914999999999999</v>
      </c>
      <c r="F12" s="404">
        <f t="shared" si="7"/>
        <v>183.74</v>
      </c>
      <c r="G12" s="404">
        <f t="shared" si="7"/>
        <v>36.159999999999989</v>
      </c>
      <c r="H12" s="404">
        <f t="shared" si="7"/>
        <v>281.13400000000001</v>
      </c>
      <c r="I12" s="407">
        <f t="shared" si="7"/>
        <v>3.1999999999999997</v>
      </c>
      <c r="J12" s="710">
        <f t="shared" si="2"/>
        <v>-1.1102230246251565E-14</v>
      </c>
      <c r="K12" s="34"/>
    </row>
    <row r="13" spans="1:14" ht="14.1" customHeight="1" x14ac:dyDescent="0.2">
      <c r="A13" s="723" t="s">
        <v>157</v>
      </c>
      <c r="B13" s="585">
        <f t="shared" ref="B13:I13" si="8">SUM(B59:B62)</f>
        <v>2757.413</v>
      </c>
      <c r="C13" s="404">
        <f t="shared" si="8"/>
        <v>1199.52</v>
      </c>
      <c r="D13" s="404">
        <f t="shared" si="8"/>
        <v>456.82</v>
      </c>
      <c r="E13" s="404">
        <f t="shared" si="8"/>
        <v>175.35</v>
      </c>
      <c r="F13" s="404">
        <f t="shared" si="8"/>
        <v>765.26</v>
      </c>
      <c r="G13" s="404">
        <f t="shared" si="8"/>
        <v>39.669999999999938</v>
      </c>
      <c r="H13" s="404">
        <f t="shared" si="8"/>
        <v>120.443</v>
      </c>
      <c r="I13" s="407">
        <f t="shared" si="8"/>
        <v>0.35</v>
      </c>
      <c r="J13" s="710">
        <f t="shared" si="2"/>
        <v>1.5065726444163374E-13</v>
      </c>
      <c r="K13" s="34"/>
    </row>
    <row r="14" spans="1:14" ht="14.1" customHeight="1" x14ac:dyDescent="0.2">
      <c r="A14" s="723" t="s">
        <v>158</v>
      </c>
      <c r="B14" s="585">
        <f t="shared" ref="B14:I14" si="9">SUM(B63:B66)</f>
        <v>1254.2350000000001</v>
      </c>
      <c r="C14" s="404">
        <f t="shared" si="9"/>
        <v>345.74</v>
      </c>
      <c r="D14" s="404">
        <f t="shared" si="9"/>
        <v>127.6</v>
      </c>
      <c r="E14" s="404">
        <f t="shared" si="9"/>
        <v>35.619999999999997</v>
      </c>
      <c r="F14" s="404">
        <f t="shared" si="9"/>
        <v>608.45000000000005</v>
      </c>
      <c r="G14" s="404">
        <f t="shared" si="9"/>
        <v>27.020000000000003</v>
      </c>
      <c r="H14" s="404">
        <f t="shared" si="9"/>
        <v>109.065</v>
      </c>
      <c r="I14" s="407">
        <f t="shared" si="9"/>
        <v>0.74</v>
      </c>
      <c r="J14" s="710">
        <f t="shared" si="2"/>
        <v>3.7525538232330291E-14</v>
      </c>
      <c r="K14" s="34"/>
    </row>
    <row r="15" spans="1:14" ht="14.1" customHeight="1" x14ac:dyDescent="0.2">
      <c r="A15" s="723" t="s">
        <v>159</v>
      </c>
      <c r="B15" s="585">
        <f t="shared" ref="B15:I15" si="10">SUM(B67:B70)</f>
        <v>3303.23</v>
      </c>
      <c r="C15" s="404">
        <f t="shared" si="10"/>
        <v>1337.58</v>
      </c>
      <c r="D15" s="404">
        <f t="shared" si="10"/>
        <v>288.71000000000004</v>
      </c>
      <c r="E15" s="404">
        <f t="shared" si="10"/>
        <v>55.47</v>
      </c>
      <c r="F15" s="404">
        <f t="shared" si="10"/>
        <v>1225.3600000000001</v>
      </c>
      <c r="G15" s="404">
        <f t="shared" si="10"/>
        <v>64.589999999999947</v>
      </c>
      <c r="H15" s="404">
        <f t="shared" si="10"/>
        <v>329.10999999999996</v>
      </c>
      <c r="I15" s="407">
        <f t="shared" si="10"/>
        <v>2.41</v>
      </c>
      <c r="J15" s="710">
        <f t="shared" si="2"/>
        <v>2.4868995751603507E-14</v>
      </c>
      <c r="K15" s="34"/>
    </row>
    <row r="16" spans="1:14" s="592" customFormat="1" ht="13.5" customHeight="1" x14ac:dyDescent="0.2">
      <c r="A16" s="723" t="s">
        <v>160</v>
      </c>
      <c r="B16" s="585">
        <f t="shared" ref="B16:I16" si="11">SUM(B71:B74)</f>
        <v>2215.02</v>
      </c>
      <c r="C16" s="404">
        <f t="shared" si="11"/>
        <v>941.21</v>
      </c>
      <c r="D16" s="404">
        <f t="shared" si="11"/>
        <v>352.49</v>
      </c>
      <c r="E16" s="404">
        <f t="shared" si="11"/>
        <v>57.510000000000005</v>
      </c>
      <c r="F16" s="404">
        <f t="shared" si="11"/>
        <v>476.14</v>
      </c>
      <c r="G16" s="404">
        <f t="shared" si="11"/>
        <v>70.799999999999955</v>
      </c>
      <c r="H16" s="404">
        <f t="shared" si="11"/>
        <v>313.89</v>
      </c>
      <c r="I16" s="407">
        <f t="shared" si="11"/>
        <v>2.98</v>
      </c>
      <c r="J16" s="710">
        <f t="shared" si="2"/>
        <v>1.8207657603852567E-14</v>
      </c>
      <c r="K16" s="599"/>
      <c r="N16" s="709"/>
    </row>
    <row r="17" spans="1:11" s="592" customFormat="1" ht="13.5" customHeight="1" x14ac:dyDescent="0.2">
      <c r="A17" s="723" t="s">
        <v>161</v>
      </c>
      <c r="B17" s="585">
        <f t="shared" ref="B17:I17" si="12">SUM(B75:B78)</f>
        <v>4289.2939999999999</v>
      </c>
      <c r="C17" s="404">
        <f t="shared" si="12"/>
        <v>2285.11</v>
      </c>
      <c r="D17" s="404">
        <f t="shared" si="12"/>
        <v>542.24</v>
      </c>
      <c r="E17" s="404">
        <f t="shared" si="12"/>
        <v>78.7</v>
      </c>
      <c r="F17" s="404">
        <f t="shared" si="12"/>
        <v>756.62</v>
      </c>
      <c r="G17" s="404">
        <f t="shared" si="12"/>
        <v>127.22000000000001</v>
      </c>
      <c r="H17" s="404">
        <f t="shared" si="12"/>
        <v>492.57400000000001</v>
      </c>
      <c r="I17" s="407">
        <f t="shared" si="12"/>
        <v>6.83</v>
      </c>
      <c r="J17" s="710">
        <f t="shared" si="2"/>
        <v>-3.5704772471945034E-13</v>
      </c>
      <c r="K17" s="599"/>
    </row>
    <row r="18" spans="1:11" s="592" customFormat="1" ht="13.5" customHeight="1" x14ac:dyDescent="0.2">
      <c r="A18" s="723" t="s">
        <v>163</v>
      </c>
      <c r="B18" s="585">
        <f t="shared" ref="B18:I18" si="13">SUM(B79:B82)</f>
        <v>3185.6499999999996</v>
      </c>
      <c r="C18" s="404">
        <f t="shared" si="13"/>
        <v>1756.6999999999998</v>
      </c>
      <c r="D18" s="404">
        <f t="shared" si="13"/>
        <v>414.71000000000004</v>
      </c>
      <c r="E18" s="404">
        <f t="shared" si="13"/>
        <v>95.450000000000017</v>
      </c>
      <c r="F18" s="404">
        <f t="shared" si="13"/>
        <v>562.76</v>
      </c>
      <c r="G18" s="404">
        <f t="shared" si="13"/>
        <v>80.574000000000055</v>
      </c>
      <c r="H18" s="404">
        <f t="shared" si="13"/>
        <v>272.846</v>
      </c>
      <c r="I18" s="407">
        <f t="shared" si="13"/>
        <v>2.61</v>
      </c>
      <c r="J18" s="710">
        <f t="shared" si="2"/>
        <v>-3.2729374765949615E-13</v>
      </c>
      <c r="K18" s="599"/>
    </row>
    <row r="19" spans="1:11" s="592" customFormat="1" ht="13.5" customHeight="1" x14ac:dyDescent="0.2">
      <c r="A19" s="723" t="s">
        <v>164</v>
      </c>
      <c r="B19" s="585">
        <f t="shared" ref="B19:I19" si="14">SUM(B83:B86)</f>
        <v>3895.45</v>
      </c>
      <c r="C19" s="404">
        <f t="shared" si="14"/>
        <v>1935.96</v>
      </c>
      <c r="D19" s="404">
        <f t="shared" si="14"/>
        <v>492.01</v>
      </c>
      <c r="E19" s="404">
        <f t="shared" si="14"/>
        <v>123.22999999999999</v>
      </c>
      <c r="F19" s="404">
        <f t="shared" si="14"/>
        <v>898.18</v>
      </c>
      <c r="G19" s="404">
        <f t="shared" si="14"/>
        <v>149.54699999999997</v>
      </c>
      <c r="H19" s="404">
        <f t="shared" si="14"/>
        <v>294.84300000000002</v>
      </c>
      <c r="I19" s="407">
        <f t="shared" si="14"/>
        <v>1.6800000000000002</v>
      </c>
      <c r="J19" s="710">
        <f t="shared" si="2"/>
        <v>-1.6386891843467311E-13</v>
      </c>
      <c r="K19" s="599"/>
    </row>
    <row r="20" spans="1:11" s="592" customFormat="1" ht="13.5" customHeight="1" x14ac:dyDescent="0.2">
      <c r="A20" s="722" t="s">
        <v>166</v>
      </c>
      <c r="B20" s="585">
        <f t="shared" ref="B20:I20" si="15">SUM(B87:B90)</f>
        <v>3288.4659999999999</v>
      </c>
      <c r="C20" s="585">
        <f t="shared" si="15"/>
        <v>1679.18</v>
      </c>
      <c r="D20" s="585">
        <f t="shared" si="15"/>
        <v>412.75</v>
      </c>
      <c r="E20" s="585">
        <f t="shared" si="15"/>
        <v>145.93</v>
      </c>
      <c r="F20" s="585">
        <f t="shared" si="15"/>
        <v>661.54000000000008</v>
      </c>
      <c r="G20" s="585">
        <f t="shared" si="15"/>
        <v>104.1849999999999</v>
      </c>
      <c r="H20" s="585">
        <f t="shared" si="15"/>
        <v>282.68099999999998</v>
      </c>
      <c r="I20" s="591">
        <f t="shared" si="15"/>
        <v>2.2000000000000002</v>
      </c>
      <c r="J20" s="710">
        <f t="shared" si="2"/>
        <v>-1.8207657603852567E-13</v>
      </c>
      <c r="K20" s="599"/>
    </row>
    <row r="21" spans="1:11" s="592" customFormat="1" ht="13.5" customHeight="1" x14ac:dyDescent="0.2">
      <c r="A21" s="722" t="s">
        <v>168</v>
      </c>
      <c r="B21" s="585">
        <f t="shared" ref="B21:I21" si="16">SUM(B91:B94)</f>
        <v>2535.5120000000002</v>
      </c>
      <c r="C21" s="585">
        <f t="shared" si="16"/>
        <v>1192.7759999999998</v>
      </c>
      <c r="D21" s="585">
        <f t="shared" si="16"/>
        <v>258.85000000000002</v>
      </c>
      <c r="E21" s="585">
        <f t="shared" si="16"/>
        <v>103.42</v>
      </c>
      <c r="F21" s="585">
        <f t="shared" si="16"/>
        <v>490.93</v>
      </c>
      <c r="G21" s="585">
        <f t="shared" si="16"/>
        <v>103.22799999999998</v>
      </c>
      <c r="H21" s="585">
        <f t="shared" si="16"/>
        <v>383.07799999999997</v>
      </c>
      <c r="I21" s="591">
        <f t="shared" si="16"/>
        <v>3.2300000000000004</v>
      </c>
      <c r="J21" s="710">
        <f t="shared" si="2"/>
        <v>4.7251091928046662E-13</v>
      </c>
      <c r="K21" s="599"/>
    </row>
    <row r="22" spans="1:11" s="592" customFormat="1" ht="13.5" customHeight="1" x14ac:dyDescent="0.2">
      <c r="A22" s="722" t="s">
        <v>173</v>
      </c>
      <c r="B22" s="585">
        <f t="shared" ref="B22:I22" si="17">SUM(B95:B98)</f>
        <v>3078.8360000000002</v>
      </c>
      <c r="C22" s="585">
        <f t="shared" si="17"/>
        <v>1419.98</v>
      </c>
      <c r="D22" s="585">
        <f t="shared" si="17"/>
        <v>197.26000000000002</v>
      </c>
      <c r="E22" s="585">
        <f t="shared" si="17"/>
        <v>163.59</v>
      </c>
      <c r="F22" s="585">
        <f t="shared" si="17"/>
        <v>792.93</v>
      </c>
      <c r="G22" s="585">
        <f t="shared" si="17"/>
        <v>133.26999999999987</v>
      </c>
      <c r="H22" s="585">
        <f t="shared" si="17"/>
        <v>368.30599999999998</v>
      </c>
      <c r="I22" s="591">
        <f t="shared" si="17"/>
        <v>3.4999999999999996</v>
      </c>
      <c r="J22" s="710">
        <f t="shared" si="2"/>
        <v>5.120348589571222E-13</v>
      </c>
      <c r="K22" s="599"/>
    </row>
    <row r="23" spans="1:11" s="592" customFormat="1" ht="13.5" customHeight="1" x14ac:dyDescent="0.2">
      <c r="A23" s="722" t="s">
        <v>174</v>
      </c>
      <c r="B23" s="585">
        <f t="shared" ref="B23:I23" si="18">SUM(B99:B102)</f>
        <v>4325.9780000000001</v>
      </c>
      <c r="C23" s="585">
        <f t="shared" si="18"/>
        <v>1853.52</v>
      </c>
      <c r="D23" s="585">
        <f t="shared" si="18"/>
        <v>315.05999999999995</v>
      </c>
      <c r="E23" s="585">
        <f t="shared" si="18"/>
        <v>184.45999999999998</v>
      </c>
      <c r="F23" s="585">
        <f t="shared" si="18"/>
        <v>1402.72</v>
      </c>
      <c r="G23" s="585">
        <f t="shared" si="18"/>
        <v>155.10000000000016</v>
      </c>
      <c r="H23" s="585">
        <f t="shared" si="18"/>
        <v>409.78800000000001</v>
      </c>
      <c r="I23" s="591">
        <f t="shared" si="18"/>
        <v>5.33</v>
      </c>
      <c r="J23" s="710">
        <f t="shared" si="2"/>
        <v>-7.2830630415410269E-14</v>
      </c>
      <c r="K23" s="599"/>
    </row>
    <row r="24" spans="1:11" s="592" customFormat="1" ht="13.5" customHeight="1" x14ac:dyDescent="0.2">
      <c r="A24" s="722" t="s">
        <v>187</v>
      </c>
      <c r="B24" s="585">
        <f t="shared" ref="B24:I24" si="19">SUM(B103:B106)</f>
        <v>3263.4389999999999</v>
      </c>
      <c r="C24" s="585">
        <f t="shared" si="19"/>
        <v>1389.2699999999998</v>
      </c>
      <c r="D24" s="585">
        <f t="shared" si="19"/>
        <v>150.54</v>
      </c>
      <c r="E24" s="585">
        <f t="shared" si="19"/>
        <v>191.44</v>
      </c>
      <c r="F24" s="585">
        <f t="shared" si="19"/>
        <v>1110.1200000000001</v>
      </c>
      <c r="G24" s="585">
        <f t="shared" si="19"/>
        <v>70.756000000000085</v>
      </c>
      <c r="H24" s="585">
        <f t="shared" si="19"/>
        <v>348.44299999999998</v>
      </c>
      <c r="I24" s="591">
        <f t="shared" si="19"/>
        <v>2.87</v>
      </c>
      <c r="J24" s="710">
        <f t="shared" si="2"/>
        <v>-1.092459456231154E-13</v>
      </c>
      <c r="K24" s="599"/>
    </row>
    <row r="25" spans="1:11" s="592" customFormat="1" ht="13.5" customHeight="1" x14ac:dyDescent="0.2">
      <c r="A25" s="722" t="s">
        <v>188</v>
      </c>
      <c r="B25" s="585">
        <f t="shared" ref="B25:I25" si="20">SUM(B107:B110)</f>
        <v>3460.24</v>
      </c>
      <c r="C25" s="585">
        <f t="shared" si="20"/>
        <v>1362.93</v>
      </c>
      <c r="D25" s="585">
        <f t="shared" si="20"/>
        <v>292.5</v>
      </c>
      <c r="E25" s="585">
        <f t="shared" si="20"/>
        <v>84.44</v>
      </c>
      <c r="F25" s="585">
        <f t="shared" si="20"/>
        <v>1270.9100000000001</v>
      </c>
      <c r="G25" s="585">
        <f t="shared" si="20"/>
        <v>86.155999999999892</v>
      </c>
      <c r="H25" s="585">
        <f t="shared" si="20"/>
        <v>359.82400000000001</v>
      </c>
      <c r="I25" s="591">
        <f t="shared" si="20"/>
        <v>3.4800000000000004</v>
      </c>
      <c r="J25" s="710">
        <f t="shared" si="2"/>
        <v>-5.5067062021407764E-13</v>
      </c>
      <c r="K25" s="599"/>
    </row>
    <row r="26" spans="1:11" s="592" customFormat="1" ht="13.5" customHeight="1" x14ac:dyDescent="0.2">
      <c r="A26" s="722" t="s">
        <v>189</v>
      </c>
      <c r="B26" s="585">
        <f t="shared" ref="B26:I26" si="21">SUM(B111:B114)</f>
        <v>4433.8688999999995</v>
      </c>
      <c r="C26" s="585">
        <f t="shared" si="21"/>
        <v>1454.7600000000002</v>
      </c>
      <c r="D26" s="585">
        <f t="shared" si="21"/>
        <v>225.57000000000002</v>
      </c>
      <c r="E26" s="585">
        <f t="shared" si="21"/>
        <v>140.94999999999999</v>
      </c>
      <c r="F26" s="585">
        <f t="shared" si="21"/>
        <v>1048.71</v>
      </c>
      <c r="G26" s="585">
        <f t="shared" si="21"/>
        <v>222.9199999999999</v>
      </c>
      <c r="H26" s="585">
        <f t="shared" si="21"/>
        <v>1164.4788999999998</v>
      </c>
      <c r="I26" s="591">
        <f t="shared" si="21"/>
        <v>176.48</v>
      </c>
      <c r="J26" s="710">
        <f t="shared" si="2"/>
        <v>-4.2632564145606011E-13</v>
      </c>
      <c r="K26" s="599"/>
    </row>
    <row r="27" spans="1:11" s="592" customFormat="1" ht="13.5" customHeight="1" x14ac:dyDescent="0.2">
      <c r="A27" s="722" t="s">
        <v>190</v>
      </c>
      <c r="B27" s="585">
        <f t="shared" ref="B27:I27" si="22">SUM(B115:B118)</f>
        <v>4338.7527899999995</v>
      </c>
      <c r="C27" s="585">
        <f t="shared" si="22"/>
        <v>1602.5</v>
      </c>
      <c r="D27" s="585">
        <f t="shared" si="22"/>
        <v>184.85</v>
      </c>
      <c r="E27" s="585">
        <f t="shared" si="22"/>
        <v>125.08</v>
      </c>
      <c r="F27" s="585">
        <f t="shared" si="22"/>
        <v>1218.74</v>
      </c>
      <c r="G27" s="585">
        <f t="shared" si="22"/>
        <v>119.74999999999989</v>
      </c>
      <c r="H27" s="585">
        <f t="shared" si="22"/>
        <v>1001.9558299999999</v>
      </c>
      <c r="I27" s="591">
        <f t="shared" si="22"/>
        <v>85.876959999999997</v>
      </c>
      <c r="J27" s="710">
        <f t="shared" si="2"/>
        <v>0</v>
      </c>
      <c r="K27" s="599"/>
    </row>
    <row r="28" spans="1:11" s="592" customFormat="1" ht="13.5" customHeight="1" x14ac:dyDescent="0.2">
      <c r="A28" s="722" t="s">
        <v>285</v>
      </c>
      <c r="B28" s="585">
        <f t="shared" ref="B28:I28" si="23">SUM(B119:B122)</f>
        <v>4881.9316000000008</v>
      </c>
      <c r="C28" s="585">
        <f t="shared" si="23"/>
        <v>2279.9399999999996</v>
      </c>
      <c r="D28" s="585">
        <f t="shared" si="23"/>
        <v>353.95</v>
      </c>
      <c r="E28" s="585">
        <f t="shared" si="23"/>
        <v>752.71</v>
      </c>
      <c r="F28" s="585">
        <f t="shared" si="23"/>
        <v>370.69</v>
      </c>
      <c r="G28" s="585">
        <f t="shared" si="23"/>
        <v>331.52860000000021</v>
      </c>
      <c r="H28" s="585">
        <f t="shared" si="23"/>
        <v>775.93300000000011</v>
      </c>
      <c r="I28" s="591">
        <f t="shared" si="23"/>
        <v>17.18</v>
      </c>
      <c r="J28" s="710">
        <f t="shared" ref="J28:J29" si="24">B28-C28-D28-E28-F28-G28-H28-I28</f>
        <v>9.7344354799133725E-13</v>
      </c>
      <c r="K28" s="599"/>
    </row>
    <row r="29" spans="1:11" s="592" customFormat="1" ht="13.5" customHeight="1" x14ac:dyDescent="0.2">
      <c r="A29" s="722" t="s">
        <v>311</v>
      </c>
      <c r="B29" s="585">
        <f>SUM(B123:B126)</f>
        <v>2307.7628</v>
      </c>
      <c r="C29" s="585">
        <f t="shared" ref="C29:I29" si="25">SUM(C123:C126)</f>
        <v>989.35699999999997</v>
      </c>
      <c r="D29" s="585">
        <f t="shared" si="25"/>
        <v>258.88</v>
      </c>
      <c r="E29" s="585">
        <f t="shared" si="25"/>
        <v>208.62999999999997</v>
      </c>
      <c r="F29" s="585">
        <f t="shared" si="25"/>
        <v>345.94</v>
      </c>
      <c r="G29" s="585">
        <f t="shared" si="25"/>
        <v>93.283799999999985</v>
      </c>
      <c r="H29" s="585">
        <f t="shared" si="25"/>
        <v>406.24199999999996</v>
      </c>
      <c r="I29" s="591">
        <f t="shared" si="25"/>
        <v>5.43</v>
      </c>
      <c r="J29" s="710">
        <f t="shared" si="24"/>
        <v>-4.9737991503207013E-14</v>
      </c>
      <c r="K29" s="599"/>
    </row>
    <row r="30" spans="1:11" s="592" customFormat="1" ht="6" customHeight="1" x14ac:dyDescent="0.2">
      <c r="A30" s="722"/>
      <c r="B30" s="602"/>
      <c r="C30" s="602"/>
      <c r="D30" s="602"/>
      <c r="E30" s="602"/>
      <c r="F30" s="602"/>
      <c r="G30" s="602"/>
      <c r="H30" s="602"/>
      <c r="I30" s="624"/>
      <c r="J30" s="710"/>
      <c r="K30" s="599"/>
    </row>
    <row r="31" spans="1:11" s="592" customFormat="1" ht="13.5" customHeight="1" x14ac:dyDescent="0.2">
      <c r="A31" s="746" t="s">
        <v>318</v>
      </c>
      <c r="B31" s="602">
        <f t="shared" ref="B31" si="26">SUM(C31:I31)</f>
        <v>1281.519</v>
      </c>
      <c r="C31" s="585">
        <f>SUM('[7]Volume Data'!$D$87:$D$89)/1</f>
        <v>390.58000000000004</v>
      </c>
      <c r="D31" s="585">
        <f>SUM('[7]Volume Data'!$AZ$87:$AZ$89)/1</f>
        <v>786.85</v>
      </c>
      <c r="E31" s="585">
        <f>SUM('[7]Volume Data'!$AJ$87:$AJ$89)/1</f>
        <v>5.9250000000000007</v>
      </c>
      <c r="F31" s="585">
        <f>SUM('[7]Volume Data'!$AW$87:$AW$89)/1</f>
        <v>42.29</v>
      </c>
      <c r="G31" s="585">
        <f>(SUM('[7]Volume Data'!$AI$87:$AI$89)-SUM('[7]Volume Data'!$AJ$87:$AJ$89)-SUM('[7]Volume Data'!$AW$87:$AW$89)-SUM('[7]Volume Data'!$AZ$87:$AZ$89))/1</f>
        <v>1.4199999999999591</v>
      </c>
      <c r="H31" s="585">
        <f>SUM('[7]Volume Data'!$P$87:$P$89)/1</f>
        <v>54.334000000000003</v>
      </c>
      <c r="I31" s="591">
        <f>SUM('[7]Volume Data'!$BC$87:$BC$89)/1</f>
        <v>0.12</v>
      </c>
      <c r="J31" s="710">
        <f t="shared" ref="J31" si="27">B31-C31-D31-E31-F31-G31-H31-I31</f>
        <v>-1.6764367671839864E-14</v>
      </c>
      <c r="K31" s="599"/>
    </row>
    <row r="32" spans="1:11" s="592" customFormat="1" ht="13.5" customHeight="1" x14ac:dyDescent="0.2">
      <c r="A32" s="746" t="s">
        <v>314</v>
      </c>
      <c r="B32" s="602">
        <f t="shared" ref="B32" si="28">SUM(C32:I32)</f>
        <v>1137.9049999999997</v>
      </c>
      <c r="C32" s="585">
        <f>SUM('[7]Volume Data'!$D$90:$D$92)/1</f>
        <v>291.32000000000005</v>
      </c>
      <c r="D32" s="585">
        <f>SUM('[7]Volume Data'!$AZ$90:$AZ$92)/1</f>
        <v>647.33999999999992</v>
      </c>
      <c r="E32" s="585">
        <f>SUM('[7]Volume Data'!$AJ$90:$AJ$92)/1</f>
        <v>5.82</v>
      </c>
      <c r="F32" s="585">
        <f>SUM('[7]Volume Data'!$AW$90:$AW$92)/1</f>
        <v>105.48</v>
      </c>
      <c r="G32" s="585">
        <f>(SUM('[7]Volume Data'!$AI$90:$AI$92)-SUM('[7]Volume Data'!$AJ$90:$AJ$92)-SUM('[7]Volume Data'!$AW$90:$AW$92)-SUM('[7]Volume Data'!$AZ$90:$AZ$92))/1</f>
        <v>9.9809999999998809</v>
      </c>
      <c r="H32" s="585">
        <f>SUM('[7]Volume Data'!$P$90:$P$92)/1</f>
        <v>77.840999999999994</v>
      </c>
      <c r="I32" s="591">
        <f>SUM('[7]Volume Data'!$BC$90:$BC$92)/1</f>
        <v>0.123</v>
      </c>
      <c r="J32" s="710">
        <f t="shared" ref="J32:J36" si="29">B32-C32-D32-E32-F32-G32-H32-I32</f>
        <v>-9.4813046302988369E-14</v>
      </c>
      <c r="K32" s="599"/>
    </row>
    <row r="33" spans="1:11" s="592" customFormat="1" ht="13.5" customHeight="1" x14ac:dyDescent="0.2">
      <c r="A33" s="746" t="s">
        <v>307</v>
      </c>
      <c r="B33" s="602">
        <f t="shared" ref="B33:B36" si="30">SUM(C33:I33)</f>
        <v>669.21500000000015</v>
      </c>
      <c r="C33" s="585">
        <f>SUM('[7]Volume Data'!$D$93:$D$95)/1</f>
        <v>165.65999999999997</v>
      </c>
      <c r="D33" s="585">
        <f>SUM('[7]Volume Data'!$AZ$93:$AZ$95)/1</f>
        <v>242.95</v>
      </c>
      <c r="E33" s="585">
        <f>SUM('[7]Volume Data'!$AJ$93:$AJ$95)/1</f>
        <v>27.560000000000002</v>
      </c>
      <c r="F33" s="585">
        <f>SUM('[7]Volume Data'!$AW$93:$AW$95)/1</f>
        <v>195.56</v>
      </c>
      <c r="G33" s="585">
        <f>(SUM('[7]Volume Data'!$AI$93:$AI$95)-SUM('[7]Volume Data'!$AJ$93:$AJ$95)-SUM('[7]Volume Data'!$AW$93:$AW$95)-SUM('[7]Volume Data'!$AZ$93:$AZ$95))/1</f>
        <v>11.920000000000016</v>
      </c>
      <c r="H33" s="585">
        <f>SUM('[7]Volume Data'!$P$93:$P$95)/1</f>
        <v>25.104999999999997</v>
      </c>
      <c r="I33" s="591">
        <f>SUM('[7]Volume Data'!$BC$93:$BC$95)/1</f>
        <v>0.46</v>
      </c>
      <c r="J33" s="710">
        <f t="shared" si="29"/>
        <v>1.7136292385089291E-13</v>
      </c>
      <c r="K33" s="599"/>
    </row>
    <row r="34" spans="1:11" s="592" customFormat="1" ht="13.5" customHeight="1" x14ac:dyDescent="0.2">
      <c r="A34" s="746" t="s">
        <v>308</v>
      </c>
      <c r="B34" s="602">
        <f t="shared" si="30"/>
        <v>183.19299999999998</v>
      </c>
      <c r="C34" s="585">
        <f>SUM('[7]Volume Data'!$D$96:$D$98)/1</f>
        <v>115.72999999999999</v>
      </c>
      <c r="D34" s="585">
        <f>SUM('[7]Volume Data'!$AZ$96:$AZ$98)/1</f>
        <v>12.64</v>
      </c>
      <c r="E34" s="585">
        <f>SUM('[7]Volume Data'!$AJ$96:$AJ$98)/1</f>
        <v>9.82</v>
      </c>
      <c r="F34" s="585">
        <f>SUM('[7]Volume Data'!$AW$96:$AW$98)/1</f>
        <v>21.630000000000003</v>
      </c>
      <c r="G34" s="585">
        <f>(SUM('[7]Volume Data'!$AI$96:$AI$98)-SUM('[7]Volume Data'!$AJ$96:$AJ$98)-SUM('[7]Volume Data'!$AW$96:$AW$98)-SUM('[7]Volume Data'!$AZ$96:$AZ$98))/1</f>
        <v>4.8399999999999963</v>
      </c>
      <c r="H34" s="585">
        <f>SUM('[7]Volume Data'!$P$96:$P$98)/1</f>
        <v>18.142999999999997</v>
      </c>
      <c r="I34" s="591">
        <f>SUM('[7]Volume Data'!$BC$96:$BC$98)/1</f>
        <v>0.39</v>
      </c>
      <c r="J34" s="710">
        <f t="shared" si="29"/>
        <v>-2.9976021664879227E-15</v>
      </c>
      <c r="K34" s="599"/>
    </row>
    <row r="35" spans="1:11" s="592" customFormat="1" ht="13.5" customHeight="1" x14ac:dyDescent="0.2">
      <c r="A35" s="746" t="s">
        <v>309</v>
      </c>
      <c r="B35" s="602">
        <f t="shared" si="30"/>
        <v>821.29599999999982</v>
      </c>
      <c r="C35" s="585">
        <f>SUM('[7]Volume Data'!$D$99:$D$101)/1</f>
        <v>250</v>
      </c>
      <c r="D35" s="585">
        <f>SUM('[7]Volume Data'!$AZ$99:$AZ$101)/1</f>
        <v>492.00000000000006</v>
      </c>
      <c r="E35" s="585">
        <f>SUM('[7]Volume Data'!$AJ$99:$AJ$101)/1</f>
        <v>16.57</v>
      </c>
      <c r="F35" s="585">
        <f>SUM('[7]Volume Data'!$AW$99:$AW$101)/1</f>
        <v>25.270000000000003</v>
      </c>
      <c r="G35" s="585">
        <f>(SUM('[7]Volume Data'!$AI$99:$AI$101)-SUM('[7]Volume Data'!$AJ$99:$AJ$101)-SUM('[7]Volume Data'!$AW$99:$AW$101)-SUM('[7]Volume Data'!$AZ$99:$AZ$101))/1</f>
        <v>2.5499999999998977</v>
      </c>
      <c r="H35" s="585">
        <f>SUM('[7]Volume Data'!$P$99:$P$101)/1</f>
        <v>34.886000000000003</v>
      </c>
      <c r="I35" s="591">
        <f>SUM('[7]Volume Data'!$BC$99:$BC$101)/1</f>
        <v>0.02</v>
      </c>
      <c r="J35" s="710">
        <f t="shared" si="29"/>
        <v>-1.3898257544830983E-13</v>
      </c>
      <c r="K35" s="599"/>
    </row>
    <row r="36" spans="1:11" s="592" customFormat="1" ht="13.5" customHeight="1" x14ac:dyDescent="0.2">
      <c r="A36" s="746" t="s">
        <v>310</v>
      </c>
      <c r="B36" s="602">
        <f t="shared" si="30"/>
        <v>472.87600000000009</v>
      </c>
      <c r="C36" s="585">
        <f>SUM('[7]Volume Data'!$D$102:$D$104)/1</f>
        <v>256.70999999999998</v>
      </c>
      <c r="D36" s="585">
        <f>SUM('[7]Volume Data'!$AZ$102:$AZ$104)/1</f>
        <v>136.26000000000002</v>
      </c>
      <c r="E36" s="585">
        <f>SUM('[7]Volume Data'!$AJ$102:$AJ$104)/1</f>
        <v>11.98</v>
      </c>
      <c r="F36" s="585">
        <f>SUM('[7]Volume Data'!$AW$102:$AW$104)/1</f>
        <v>7.01</v>
      </c>
      <c r="G36" s="585">
        <f>(SUM('[7]Volume Data'!$AI$102:$AI$104)-SUM('[7]Volume Data'!$AJ$102:$AJ$104)-SUM('[7]Volume Data'!$AW$102:$AW$104)-SUM('[7]Volume Data'!$AZ$102:$AZ$104))/1</f>
        <v>27.590000000000003</v>
      </c>
      <c r="H36" s="585">
        <f>SUM('[7]Volume Data'!$P$102:$P$104)/1</f>
        <v>33.275999999999996</v>
      </c>
      <c r="I36" s="591">
        <f>SUM('[7]Volume Data'!$BC$102:$BC$104)/1</f>
        <v>0.05</v>
      </c>
      <c r="J36" s="710">
        <f t="shared" si="29"/>
        <v>8.9525609148211061E-14</v>
      </c>
      <c r="K36" s="599"/>
    </row>
    <row r="37" spans="1:11" s="592" customFormat="1" ht="13.5" customHeight="1" x14ac:dyDescent="0.2">
      <c r="A37" s="746" t="s">
        <v>221</v>
      </c>
      <c r="B37" s="602">
        <f t="shared" ref="B37:B40" si="31">SUM(C37:I37)</f>
        <v>353.99209999999999</v>
      </c>
      <c r="C37" s="585">
        <f>SUM('[7]Volume Data'!$D$105:$D$107)/1</f>
        <v>142.66300000000001</v>
      </c>
      <c r="D37" s="585">
        <f>SUM('[7]Volume Data'!$AZ$105:$AZ$107)/1</f>
        <v>38.81</v>
      </c>
      <c r="E37" s="585">
        <f>SUM('[7]Volume Data'!$AJ$105:$AJ$107)/1</f>
        <v>27.990000000000002</v>
      </c>
      <c r="F37" s="585">
        <f>SUM('[7]Volume Data'!$AW$105:$AW$107)/1</f>
        <v>100.32000000000001</v>
      </c>
      <c r="G37" s="585">
        <f>(SUM('[7]Volume Data'!$AI$105:$AI$107)-SUM('[7]Volume Data'!$AJ$105:$AJ$107)-SUM('[7]Volume Data'!$AW$105:$AW$107)-SUM('[7]Volume Data'!$AZ$105:$AZ$107))/1</f>
        <v>8.6499999999999915</v>
      </c>
      <c r="H37" s="585">
        <f>SUM('[7]Volume Data'!$P$105:$P$107)/1</f>
        <v>35.399099999999997</v>
      </c>
      <c r="I37" s="591">
        <f>SUM('[7]Volume Data'!$BC$105:$BC$107)/1</f>
        <v>0.16</v>
      </c>
      <c r="J37" s="710">
        <f t="shared" ref="J37:J84" si="32">B37-C37-D37-E37-F37-G37-H37-I37</f>
        <v>-2.4730217873525362E-14</v>
      </c>
      <c r="K37" s="599"/>
    </row>
    <row r="38" spans="1:11" s="592" customFormat="1" ht="13.5" customHeight="1" x14ac:dyDescent="0.2">
      <c r="A38" s="746" t="s">
        <v>222</v>
      </c>
      <c r="B38" s="602">
        <f t="shared" si="31"/>
        <v>714.39699999999993</v>
      </c>
      <c r="C38" s="585">
        <f>SUM('[7]Volume Data'!$D$108:$D$110)/1</f>
        <v>321.65999999999997</v>
      </c>
      <c r="D38" s="585">
        <f>SUM('[7]Volume Data'!$AZ$108:$AZ$110)/1</f>
        <v>69.19</v>
      </c>
      <c r="E38" s="585">
        <f>SUM('[7]Volume Data'!$AJ$108:$AJ$110)/1</f>
        <v>12.513999999999999</v>
      </c>
      <c r="F38" s="585">
        <f>SUM('[7]Volume Data'!$AW$108:$AW$110)/1</f>
        <v>241.81</v>
      </c>
      <c r="G38" s="585">
        <f>(SUM('[7]Volume Data'!$AI$108:$AI$110)-SUM('[7]Volume Data'!$AJ$108:$AJ$110)-SUM('[7]Volume Data'!$AW$108:$AW$110)-SUM('[7]Volume Data'!$AZ$108:$AZ$110))/1</f>
        <v>27.42999999999995</v>
      </c>
      <c r="H38" s="585">
        <f>SUM('[7]Volume Data'!$P$108:$P$110)/1</f>
        <v>41.503</v>
      </c>
      <c r="I38" s="591">
        <f>SUM('[7]Volume Data'!$BC$108:$BC$110)/1</f>
        <v>0.29000000000000004</v>
      </c>
      <c r="J38" s="710">
        <f t="shared" si="32"/>
        <v>6.2172489379008766E-15</v>
      </c>
      <c r="K38" s="599"/>
    </row>
    <row r="39" spans="1:11" s="592" customFormat="1" ht="13.5" customHeight="1" x14ac:dyDescent="0.2">
      <c r="A39" s="746" t="s">
        <v>223</v>
      </c>
      <c r="B39" s="602">
        <f t="shared" si="31"/>
        <v>490.16</v>
      </c>
      <c r="C39" s="585">
        <f>SUM('[7]Volume Data'!$D$111:$D$113)/1</f>
        <v>291.55</v>
      </c>
      <c r="D39" s="585">
        <f>SUM('[7]Volume Data'!$AZ$111:$AZ$113)/1</f>
        <v>92.990000000000009</v>
      </c>
      <c r="E39" s="585">
        <f>SUM('[7]Volume Data'!$AJ$111:$AJ$113)/1</f>
        <v>11.995999999999999</v>
      </c>
      <c r="F39" s="585">
        <f>SUM('[7]Volume Data'!$AW$111:$AW$113)/1</f>
        <v>24.73</v>
      </c>
      <c r="G39" s="585">
        <f>(SUM('[7]Volume Data'!$AI$111:$AI$113)-SUM('[7]Volume Data'!$AJ$111:$AJ$113)-SUM('[7]Volume Data'!$AW$111:$AW$113)-SUM('[7]Volume Data'!$AZ$111:$AZ$113))/1</f>
        <v>9.6399999999999864</v>
      </c>
      <c r="H39" s="585">
        <f>SUM('[7]Volume Data'!$P$111:$P$113)/1</f>
        <v>57.314000000000007</v>
      </c>
      <c r="I39" s="591">
        <f>SUM('[7]Volume Data'!$BC$111:$BC$113)/1</f>
        <v>1.94</v>
      </c>
      <c r="J39" s="710">
        <f t="shared" si="32"/>
        <v>1.1990408665951691E-14</v>
      </c>
      <c r="K39" s="599"/>
    </row>
    <row r="40" spans="1:11" s="592" customFormat="1" ht="13.5" customHeight="1" x14ac:dyDescent="0.2">
      <c r="A40" s="746" t="s">
        <v>224</v>
      </c>
      <c r="B40" s="602">
        <f t="shared" si="31"/>
        <v>460.21299999999997</v>
      </c>
      <c r="C40" s="585">
        <f>SUM('[7]Volume Data'!$D$114:$D$116)/1</f>
        <v>94.69</v>
      </c>
      <c r="D40" s="585">
        <f>SUM('[7]Volume Data'!$AZ$114:$AZ$116)/1</f>
        <v>77.819999999999993</v>
      </c>
      <c r="E40" s="585">
        <f>SUM('[7]Volume Data'!$AJ$114:$AJ$116)/1</f>
        <v>9.6210000000000004</v>
      </c>
      <c r="F40" s="585">
        <f>SUM('[7]Volume Data'!$AW$114:$AW$116)/1</f>
        <v>42.16</v>
      </c>
      <c r="G40" s="585">
        <f>(SUM('[7]Volume Data'!$AI$114:$AI$116)-SUM('[7]Volume Data'!$AJ$114:$AJ$116)-SUM('[7]Volume Data'!$AW$114:$AW$116)-SUM('[7]Volume Data'!$AZ$114:$AZ$116))/1</f>
        <v>8.4799999999999898</v>
      </c>
      <c r="H40" s="585">
        <f>SUM('[7]Volume Data'!$P$114:$P$116)/1</f>
        <v>225.202</v>
      </c>
      <c r="I40" s="591">
        <f>SUM('[7]Volume Data'!$BC$114:$BC$116)/1</f>
        <v>2.2400000000000002</v>
      </c>
      <c r="J40" s="710">
        <f t="shared" si="32"/>
        <v>8.8817841970012523E-15</v>
      </c>
      <c r="K40" s="599"/>
    </row>
    <row r="41" spans="1:11" s="592" customFormat="1" ht="13.5" customHeight="1" x14ac:dyDescent="0.2">
      <c r="A41" s="746" t="s">
        <v>225</v>
      </c>
      <c r="B41" s="602">
        <f t="shared" ref="B41:B44" si="33">SUM(C41:I41)</f>
        <v>149.48999999999998</v>
      </c>
      <c r="C41" s="585">
        <f>SUM('[7]Volume Data'!$D$117:$D$119)/1</f>
        <v>61.989999999999995</v>
      </c>
      <c r="D41" s="585">
        <f>SUM('[7]Volume Data'!$AZ$117:$AZ$119)/1</f>
        <v>11.55</v>
      </c>
      <c r="E41" s="585">
        <f>SUM('[7]Volume Data'!$AJ$117:$AJ$119)/1</f>
        <v>15.739999999999998</v>
      </c>
      <c r="F41" s="585">
        <f>SUM('[7]Volume Data'!$AW$117:$AW$119)/1</f>
        <v>19</v>
      </c>
      <c r="G41" s="585">
        <f>(SUM('[7]Volume Data'!$AI$117:$AI$119)-SUM('[7]Volume Data'!$AJ$117:$AJ$119)-SUM('[7]Volume Data'!$AW$117:$AW$119)-SUM('[7]Volume Data'!$AZ$117:$AZ$119))/1</f>
        <v>21.56999999999999</v>
      </c>
      <c r="H41" s="585">
        <f>SUM('[7]Volume Data'!$P$117:$P$119)/1</f>
        <v>18.46</v>
      </c>
      <c r="I41" s="591">
        <f>SUM('[7]Volume Data'!$BC$117:$BC$119)/1</f>
        <v>1.1800000000000002</v>
      </c>
      <c r="J41" s="710">
        <f t="shared" si="32"/>
        <v>3.1086244689504383E-15</v>
      </c>
      <c r="K41" s="589"/>
    </row>
    <row r="42" spans="1:11" s="592" customFormat="1" ht="13.5" customHeight="1" x14ac:dyDescent="0.2">
      <c r="A42" s="746" t="s">
        <v>226</v>
      </c>
      <c r="B42" s="602">
        <f t="shared" si="33"/>
        <v>558.20000000000005</v>
      </c>
      <c r="C42" s="585">
        <f>SUM('[7]Volume Data'!$D$120:$D$122)/1</f>
        <v>289.80000000000007</v>
      </c>
      <c r="D42" s="585">
        <f>SUM('[7]Volume Data'!$AZ$120:$AZ$122)/1</f>
        <v>47.2</v>
      </c>
      <c r="E42" s="585">
        <f>SUM('[7]Volume Data'!$AJ$120:$AJ$122)/1</f>
        <v>14.24</v>
      </c>
      <c r="F42" s="585">
        <f>SUM('[7]Volume Data'!$AW$120:$AW$122)/1</f>
        <v>73.160000000000011</v>
      </c>
      <c r="G42" s="585">
        <f>(SUM('[7]Volume Data'!$AI$120:$AI$122)-SUM('[7]Volume Data'!$AJ$120:$AJ$122)-SUM('[7]Volume Data'!$AW$120:$AW$122)-SUM('[7]Volume Data'!$AZ$120:$AZ$122))/1</f>
        <v>88.279999999999959</v>
      </c>
      <c r="H42" s="585">
        <f>SUM('[7]Volume Data'!$P$120:$P$122)/1</f>
        <v>44.36</v>
      </c>
      <c r="I42" s="591">
        <f>SUM('[7]Volume Data'!$BC$120:$BC$122)/1</f>
        <v>1.1600000000000001</v>
      </c>
      <c r="J42" s="710">
        <f t="shared" si="32"/>
        <v>-3.5527136788005009E-15</v>
      </c>
      <c r="K42" s="589"/>
    </row>
    <row r="43" spans="1:11" s="592" customFormat="1" ht="13.5" customHeight="1" x14ac:dyDescent="0.2">
      <c r="A43" s="746" t="s">
        <v>227</v>
      </c>
      <c r="B43" s="602">
        <f t="shared" si="33"/>
        <v>469.44</v>
      </c>
      <c r="C43" s="585">
        <f>SUM('[7]Volume Data'!$D$123:$D$125)/1</f>
        <v>269.81</v>
      </c>
      <c r="D43" s="585">
        <f>SUM('[7]Volume Data'!$AZ$123:$AZ$125)/1</f>
        <v>39.57</v>
      </c>
      <c r="E43" s="585">
        <f>SUM('[7]Volume Data'!$AJ$123:$AJ$125)/1</f>
        <v>13.770000000000001</v>
      </c>
      <c r="F43" s="585">
        <f>SUM('[7]Volume Data'!$AW$123:$AW$125)/1</f>
        <v>66.510000000000005</v>
      </c>
      <c r="G43" s="585">
        <f>(SUM('[7]Volume Data'!$AI$123:$AI$125)-SUM('[7]Volume Data'!$AJ$123:$AJ$125)-SUM('[7]Volume Data'!$AW$123:$AW$125)-SUM('[7]Volume Data'!$AZ$123:$AZ$125))/1</f>
        <v>14.730000000000011</v>
      </c>
      <c r="H43" s="585">
        <f>SUM('[7]Volume Data'!$P$123:$P$125)/1</f>
        <v>64.139999999999986</v>
      </c>
      <c r="I43" s="591">
        <f>SUM('[7]Volume Data'!$BC$123:$BC$125)/1</f>
        <v>0.90999999999999992</v>
      </c>
      <c r="J43" s="710">
        <f t="shared" si="32"/>
        <v>-3.3306690738754696E-15</v>
      </c>
      <c r="K43" s="589"/>
    </row>
    <row r="44" spans="1:11" s="592" customFormat="1" ht="13.5" customHeight="1" x14ac:dyDescent="0.2">
      <c r="A44" s="746" t="s">
        <v>228</v>
      </c>
      <c r="B44" s="602">
        <f t="shared" si="33"/>
        <v>483.90699999999998</v>
      </c>
      <c r="C44" s="585">
        <f>SUM('[7]Volume Data'!$D$126:$D$128)/1</f>
        <v>157.47999999999999</v>
      </c>
      <c r="D44" s="585">
        <f>SUM('[7]Volume Data'!$AZ$126:$AZ$128)/1</f>
        <v>45.13</v>
      </c>
      <c r="E44" s="585">
        <f>SUM('[7]Volume Data'!$AJ$126:$AJ$128)/1</f>
        <v>13.100999999999999</v>
      </c>
      <c r="F44" s="585">
        <f>SUM('[7]Volume Data'!$AW$126:$AW$128)/1</f>
        <v>161</v>
      </c>
      <c r="G44" s="585">
        <f>(SUM('[7]Volume Data'!$AI$126:$AI$128)-SUM('[7]Volume Data'!$AJ$126:$AJ$128)-SUM('[7]Volume Data'!$AW$126:$AW$128)-SUM('[7]Volume Data'!$AZ$126:$AZ$128))/1</f>
        <v>16.230000000000011</v>
      </c>
      <c r="H44" s="585">
        <f>SUM('[7]Volume Data'!$P$126:$P$128)/1</f>
        <v>89.525999999999982</v>
      </c>
      <c r="I44" s="591">
        <f>SUM('[7]Volume Data'!$BC$126:$BC$128)/1</f>
        <v>1.44</v>
      </c>
      <c r="J44" s="710">
        <f t="shared" si="32"/>
        <v>2.6201263381153694E-14</v>
      </c>
      <c r="K44" s="589"/>
    </row>
    <row r="45" spans="1:11" s="592" customFormat="1" ht="13.5" customHeight="1" x14ac:dyDescent="0.2">
      <c r="A45" s="746" t="s">
        <v>229</v>
      </c>
      <c r="B45" s="602">
        <f t="shared" ref="B45:B48" si="34">SUM(C45:I45)</f>
        <v>366.88</v>
      </c>
      <c r="C45" s="585">
        <f>SUM('[7]Volume Data'!$D$129:$D$131)/1</f>
        <v>148.65</v>
      </c>
      <c r="D45" s="585">
        <f>SUM('[7]Volume Data'!$AZ$129:$AZ$131)/1</f>
        <v>37.93</v>
      </c>
      <c r="E45" s="585">
        <f>SUM('[7]Volume Data'!$AJ$129:$AJ$131)/1</f>
        <v>25.92</v>
      </c>
      <c r="F45" s="585">
        <f>SUM('[7]Volume Data'!$AW$129:$AW$131)/1</f>
        <v>83.94</v>
      </c>
      <c r="G45" s="585">
        <f>(SUM('[7]Volume Data'!$AI$129:$AI$131)-SUM('[7]Volume Data'!$AJ$129:$AJ$131)-SUM('[7]Volume Data'!$AW$129:$AW$131)-SUM('[7]Volume Data'!$AZ$129:$AZ$131))/1</f>
        <v>13.899999999999984</v>
      </c>
      <c r="H45" s="585">
        <f>SUM('[7]Volume Data'!$P$129:$P$131)/1</f>
        <v>54.92</v>
      </c>
      <c r="I45" s="591">
        <f>SUM('[7]Volume Data'!$BC$129:$BC$131)/1</f>
        <v>1.62</v>
      </c>
      <c r="J45" s="710">
        <f t="shared" si="32"/>
        <v>1.1546319456101628E-14</v>
      </c>
      <c r="K45" s="589"/>
    </row>
    <row r="46" spans="1:11" s="592" customFormat="1" ht="13.5" customHeight="1" x14ac:dyDescent="0.2">
      <c r="A46" s="746" t="s">
        <v>230</v>
      </c>
      <c r="B46" s="602">
        <f t="shared" si="34"/>
        <v>388.02500000000003</v>
      </c>
      <c r="C46" s="585">
        <f>SUM('[7]Volume Data'!$D$132:$D$134)/1</f>
        <v>205.86</v>
      </c>
      <c r="D46" s="585">
        <f>SUM('[7]Volume Data'!$AZ$132:$AZ$134)/1</f>
        <v>44.26</v>
      </c>
      <c r="E46" s="585">
        <f>SUM('[7]Volume Data'!$AJ$132:$AJ$134)/1</f>
        <v>16.521000000000001</v>
      </c>
      <c r="F46" s="585">
        <f>SUM('[7]Volume Data'!$AW$132:$AW$134)/1</f>
        <v>65.2</v>
      </c>
      <c r="G46" s="585">
        <f>(SUM('[7]Volume Data'!$AI$132:$AI$134)-SUM('[7]Volume Data'!$AJ$132:$AJ$134)-SUM('[7]Volume Data'!$AW$132:$AW$134)-SUM('[7]Volume Data'!$AZ$132:$AZ$134))/1</f>
        <v>18.290000000000013</v>
      </c>
      <c r="H46" s="585">
        <f>SUM('[7]Volume Data'!$P$132:$P$134)/1</f>
        <v>37.103999999999999</v>
      </c>
      <c r="I46" s="591">
        <f>SUM('[7]Volume Data'!$BC$132:$BC$134)/1</f>
        <v>0.79</v>
      </c>
      <c r="J46" s="710">
        <f t="shared" si="32"/>
        <v>1.3322676295501878E-14</v>
      </c>
      <c r="K46" s="589"/>
    </row>
    <row r="47" spans="1:11" s="592" customFormat="1" ht="13.5" customHeight="1" x14ac:dyDescent="0.2">
      <c r="A47" s="746" t="s">
        <v>231</v>
      </c>
      <c r="B47" s="602">
        <f t="shared" si="34"/>
        <v>474.34400000000005</v>
      </c>
      <c r="C47" s="585">
        <f>SUM('[7]Volume Data'!$D$135:$D$137)/1</f>
        <v>297.8</v>
      </c>
      <c r="D47" s="585">
        <f>SUM('[7]Volume Data'!$AZ$135:$AZ$137)/1</f>
        <v>43.36</v>
      </c>
      <c r="E47" s="585">
        <f>SUM('[7]Volume Data'!$AJ$135:$AJ$137)/1</f>
        <v>13.262</v>
      </c>
      <c r="F47" s="585">
        <f>SUM('[7]Volume Data'!$AW$135:$AW$137)/1</f>
        <v>41.14</v>
      </c>
      <c r="G47" s="585">
        <f>(SUM('[7]Volume Data'!$AI$135:$AI$137)-SUM('[7]Volume Data'!$AJ$135:$AJ$137)-SUM('[7]Volume Data'!$AW$135:$AW$137)-SUM('[7]Volume Data'!$AZ$135:$AZ$137))/1</f>
        <v>8.1999999999999886</v>
      </c>
      <c r="H47" s="585">
        <f>SUM('[7]Volume Data'!$P$135:$P$137)/1</f>
        <v>69.972000000000008</v>
      </c>
      <c r="I47" s="591">
        <f>SUM('[7]Volume Data'!$BC$135:$BC$137)/1</f>
        <v>0.61</v>
      </c>
      <c r="J47" s="710">
        <f t="shared" si="32"/>
        <v>2.7866597918091429E-14</v>
      </c>
      <c r="K47" s="589"/>
    </row>
    <row r="48" spans="1:11" s="592" customFormat="1" ht="13.5" customHeight="1" x14ac:dyDescent="0.2">
      <c r="A48" s="746" t="s">
        <v>232</v>
      </c>
      <c r="B48" s="602">
        <f t="shared" si="34"/>
        <v>346.45099999999996</v>
      </c>
      <c r="C48" s="585">
        <f>SUM('[7]Volume Data'!$D$138:$D$140)/1</f>
        <v>154.27000000000001</v>
      </c>
      <c r="D48" s="585">
        <f>SUM('[7]Volume Data'!$AZ$138:$AZ$140)/1</f>
        <v>47.34</v>
      </c>
      <c r="E48" s="585">
        <f>SUM('[7]Volume Data'!$AJ$138:$AJ$140)/1</f>
        <v>12.616999999999999</v>
      </c>
      <c r="F48" s="585">
        <f>SUM('[7]Volume Data'!$AW$138:$AW$140)/1</f>
        <v>74.62</v>
      </c>
      <c r="G48" s="585">
        <f>(SUM('[7]Volume Data'!$AI$138:$AI$140)-SUM('[7]Volume Data'!$AJ$138:$AJ$140)-SUM('[7]Volume Data'!$AW$138:$AW$140)-SUM('[7]Volume Data'!$AZ$138:$AZ$140))/1</f>
        <v>5.5099999999999767</v>
      </c>
      <c r="H48" s="585">
        <f>SUM('[7]Volume Data'!$P$138:$P$140)/1</f>
        <v>51.694000000000003</v>
      </c>
      <c r="I48" s="591">
        <f>SUM('[7]Volume Data'!$BC$138:$BC$140)/1</f>
        <v>0.4</v>
      </c>
      <c r="J48" s="710">
        <f t="shared" si="32"/>
        <v>-2.2759572004815709E-14</v>
      </c>
      <c r="K48" s="589"/>
    </row>
    <row r="49" spans="1:11" s="592" customFormat="1" ht="13.5" customHeight="1" x14ac:dyDescent="0.2">
      <c r="A49" s="746" t="s">
        <v>233</v>
      </c>
      <c r="B49" s="602">
        <f t="shared" ref="B49:B52" si="35">SUM(C49:I49)</f>
        <v>466.03</v>
      </c>
      <c r="C49" s="585">
        <f>SUM('[7]Volume Data'!$D$141:$D$143)/1</f>
        <v>265.12</v>
      </c>
      <c r="D49" s="585">
        <f>SUM('[7]Volume Data'!$AZ$141:$AZ$143)/1</f>
        <v>33.770000000000003</v>
      </c>
      <c r="E49" s="585">
        <f>SUM('[7]Volume Data'!$AJ$141:$AJ$143)/1</f>
        <v>37.090000000000003</v>
      </c>
      <c r="F49" s="585">
        <f>SUM('[7]Volume Data'!$AW$141:$AW$143)/1</f>
        <v>54.78</v>
      </c>
      <c r="G49" s="585">
        <f>(SUM('[7]Volume Data'!$AI$141:$AI$143)-SUM('[7]Volume Data'!$AJ$141:$AJ$143)-SUM('[7]Volume Data'!$AW$141:$AW$143)-SUM('[7]Volume Data'!$AZ$141:$AZ$143))/1</f>
        <v>41.609999999999992</v>
      </c>
      <c r="H49" s="585">
        <f>SUM('[7]Volume Data'!$P$141:$P$143)/1</f>
        <v>32.399999999999991</v>
      </c>
      <c r="I49" s="591">
        <f>SUM('[7]Volume Data'!$BC$141:$BC$143)/1</f>
        <v>1.26</v>
      </c>
      <c r="J49" s="710">
        <f t="shared" si="32"/>
        <v>-3.0420110874729289E-14</v>
      </c>
      <c r="K49" s="589"/>
    </row>
    <row r="50" spans="1:11" s="592" customFormat="1" ht="13.5" customHeight="1" x14ac:dyDescent="0.2">
      <c r="A50" s="746" t="s">
        <v>234</v>
      </c>
      <c r="B50" s="602">
        <f t="shared" si="35"/>
        <v>431.22399999999999</v>
      </c>
      <c r="C50" s="585">
        <f>SUM('[7]Volume Data'!$D$144:$D$146)/1</f>
        <v>232</v>
      </c>
      <c r="D50" s="585">
        <f>SUM('[7]Volume Data'!$AZ$144:$AZ$146)/1</f>
        <v>52.29</v>
      </c>
      <c r="E50" s="585">
        <f>SUM('[7]Volume Data'!$AJ$144:$AJ$146)/1</f>
        <v>23.56</v>
      </c>
      <c r="F50" s="585">
        <f>SUM('[7]Volume Data'!$AW$144:$AW$146)/1</f>
        <v>72.180000000000007</v>
      </c>
      <c r="G50" s="585">
        <f>(SUM('[7]Volume Data'!$AI$144:$AI$146)-SUM('[7]Volume Data'!$AJ$144:$AJ$146)-SUM('[7]Volume Data'!$AW$144:$AW$146)-SUM('[7]Volume Data'!$AZ$144:$AZ$146))/1</f>
        <v>21.089999999999996</v>
      </c>
      <c r="H50" s="585">
        <f>SUM('[7]Volume Data'!$P$144:$P$146)/1</f>
        <v>29.894000000000002</v>
      </c>
      <c r="I50" s="591">
        <f>SUM('[7]Volume Data'!$BC$144:$BC$146)/1</f>
        <v>0.21</v>
      </c>
      <c r="J50" s="710">
        <f t="shared" si="32"/>
        <v>-9.7977181923170065E-15</v>
      </c>
      <c r="K50" s="589"/>
    </row>
    <row r="51" spans="1:11" s="592" customFormat="1" ht="13.5" customHeight="1" x14ac:dyDescent="0.2">
      <c r="A51" s="746" t="s">
        <v>235</v>
      </c>
      <c r="B51" s="602">
        <f t="shared" si="35"/>
        <v>500.23399999999992</v>
      </c>
      <c r="C51" s="585">
        <f>SUM('[7]Volume Data'!$D$147:$D$149)/1</f>
        <v>301.83999999999997</v>
      </c>
      <c r="D51" s="585">
        <f>SUM('[7]Volume Data'!$AZ$147:$AZ$149)/1</f>
        <v>55.59</v>
      </c>
      <c r="E51" s="585">
        <f>SUM('[7]Volume Data'!$AJ$147:$AJ$149)/1</f>
        <v>13.400000000000002</v>
      </c>
      <c r="F51" s="585">
        <f>SUM('[7]Volume Data'!$AW$147:$AW$149)/1</f>
        <v>57.04</v>
      </c>
      <c r="G51" s="585">
        <f>(SUM('[7]Volume Data'!$AI$147:$AI$149)-SUM('[7]Volume Data'!$AJ$147:$AJ$149)-SUM('[7]Volume Data'!$AW$147:$AW$149)-SUM('[7]Volume Data'!$AZ$147:$AZ$149))/1</f>
        <v>8.8400000000000034</v>
      </c>
      <c r="H51" s="585">
        <f>SUM('[7]Volume Data'!$P$147:$P$149)/1</f>
        <v>63.403999999999996</v>
      </c>
      <c r="I51" s="591">
        <f>SUM('[7]Volume Data'!$BC$147:$BC$149)/1</f>
        <v>0.12</v>
      </c>
      <c r="J51" s="710">
        <f t="shared" si="32"/>
        <v>-5.2291504459844873E-14</v>
      </c>
      <c r="K51" s="589"/>
    </row>
    <row r="52" spans="1:11" s="592" customFormat="1" ht="13.5" customHeight="1" x14ac:dyDescent="0.2">
      <c r="A52" s="746" t="s">
        <v>236</v>
      </c>
      <c r="B52" s="602">
        <f t="shared" si="35"/>
        <v>548.66999999999996</v>
      </c>
      <c r="C52" s="585">
        <f>SUM('[7]Volume Data'!$D$150:$D$152)/1</f>
        <v>174.09000000000003</v>
      </c>
      <c r="D52" s="585">
        <f>SUM('[7]Volume Data'!$AZ$150:$AZ$152)/1</f>
        <v>58.59</v>
      </c>
      <c r="E52" s="585">
        <f>SUM('[7]Volume Data'!$AJ$150:$AJ$152)/1</f>
        <v>13.04</v>
      </c>
      <c r="F52" s="585">
        <f>SUM('[7]Volume Data'!$AW$150:$AW$152)/1</f>
        <v>227</v>
      </c>
      <c r="G52" s="585">
        <f>(SUM('[7]Volume Data'!$AI$150:$AI$152)-SUM('[7]Volume Data'!$AJ$150:$AJ$152)-SUM('[7]Volume Data'!$AW$150:$AW$152)-SUM('[7]Volume Data'!$AZ$150:$AZ$152))/1</f>
        <v>6.9899999999999807</v>
      </c>
      <c r="H52" s="585">
        <f>SUM('[7]Volume Data'!$P$150:$P$152)/1</f>
        <v>68.569999999999993</v>
      </c>
      <c r="I52" s="591">
        <f>SUM('[7]Volume Data'!$BC$150:$BC$152)/1</f>
        <v>0.39</v>
      </c>
      <c r="J52" s="710">
        <f t="shared" si="32"/>
        <v>-9.8920871494101448E-14</v>
      </c>
      <c r="K52" s="589"/>
    </row>
    <row r="53" spans="1:11" s="592" customFormat="1" ht="13.5" customHeight="1" x14ac:dyDescent="0.2">
      <c r="A53" s="746" t="s">
        <v>237</v>
      </c>
      <c r="B53" s="602">
        <f t="shared" ref="B53:B56" si="36">SUM(C53:I53)</f>
        <v>435.36400000000003</v>
      </c>
      <c r="C53" s="585">
        <f>SUM('[7]Volume Data'!$D$153:$D$155)/1</f>
        <v>267.77</v>
      </c>
      <c r="D53" s="585">
        <f>SUM('[7]Volume Data'!$AZ$153:$AZ$155)/1</f>
        <v>50.239999999999995</v>
      </c>
      <c r="E53" s="585">
        <f>SUM('[7]Volume Data'!$AJ$153:$AJ$155)/1</f>
        <v>27.64</v>
      </c>
      <c r="F53" s="585">
        <f>SUM('[7]Volume Data'!$AW$153:$AW$155)/1</f>
        <v>49.37</v>
      </c>
      <c r="G53" s="585">
        <f>(SUM('[7]Volume Data'!$AI$153:$AI$155)-SUM('[7]Volume Data'!$AJ$153:$AJ$155)-SUM('[7]Volume Data'!$AW$153:$AW$155)-SUM('[7]Volume Data'!$AZ$153:$AZ$155))/1</f>
        <v>8.6600000000000037</v>
      </c>
      <c r="H53" s="585">
        <f>SUM('[7]Volume Data'!$P$153:$P$155)/1</f>
        <v>30.633999999999997</v>
      </c>
      <c r="I53" s="591">
        <f>SUM('[7]Volume Data'!$BC$153:$BC$155)/1</f>
        <v>1.05</v>
      </c>
      <c r="J53" s="710">
        <f t="shared" si="32"/>
        <v>5.7509552675583109E-14</v>
      </c>
      <c r="K53" s="589"/>
    </row>
    <row r="54" spans="1:11" s="592" customFormat="1" ht="13.5" customHeight="1" x14ac:dyDescent="0.2">
      <c r="A54" s="746" t="s">
        <v>238</v>
      </c>
      <c r="B54" s="602">
        <f t="shared" si="36"/>
        <v>418.73399999999998</v>
      </c>
      <c r="C54" s="585">
        <f>SUM('[7]Volume Data'!$D$156:$D$158)/1</f>
        <v>221.67000000000002</v>
      </c>
      <c r="D54" s="585">
        <f>SUM('[7]Volume Data'!$AZ$156:$AZ$158)/1</f>
        <v>56.170000000000009</v>
      </c>
      <c r="E54" s="585">
        <f>SUM('[7]Volume Data'!$AJ$156:$AJ$158)/1</f>
        <v>13.89</v>
      </c>
      <c r="F54" s="585">
        <f>SUM('[7]Volume Data'!$AW$156:$AW$158)/1</f>
        <v>77.95</v>
      </c>
      <c r="G54" s="585">
        <f>(SUM('[7]Volume Data'!$AI$156:$AI$158)-SUM('[7]Volume Data'!$AJ$156:$AJ$158)-SUM('[7]Volume Data'!$AW$156:$AW$158)-SUM('[7]Volume Data'!$AZ$156:$AZ$158))/1</f>
        <v>19.110000000000007</v>
      </c>
      <c r="H54" s="585">
        <f>SUM('[7]Volume Data'!$P$156:$P$158)/1</f>
        <v>29.733999999999995</v>
      </c>
      <c r="I54" s="591">
        <f>SUM('[7]Volume Data'!$BC$156:$BC$158)/1</f>
        <v>0.21</v>
      </c>
      <c r="J54" s="710">
        <f t="shared" si="32"/>
        <v>-5.5982996016723519E-14</v>
      </c>
      <c r="K54" s="589"/>
    </row>
    <row r="55" spans="1:11" s="592" customFormat="1" ht="13.5" customHeight="1" x14ac:dyDescent="0.2">
      <c r="A55" s="746" t="s">
        <v>239</v>
      </c>
      <c r="B55" s="602">
        <f t="shared" si="36"/>
        <v>737.61500000000001</v>
      </c>
      <c r="C55" s="585">
        <f>SUM('[7]Volume Data'!$D$159:$D$161)/1</f>
        <v>324.17</v>
      </c>
      <c r="D55" s="585">
        <f>SUM('[7]Volume Data'!$AZ$159:$AZ$161)/1</f>
        <v>96.78</v>
      </c>
      <c r="E55" s="585">
        <f>SUM('[7]Volume Data'!$AJ$159:$AJ$161)/1</f>
        <v>8.1989999999999998</v>
      </c>
      <c r="F55" s="585">
        <f>SUM('[7]Volume Data'!$AW$159:$AW$161)/1</f>
        <v>107.31</v>
      </c>
      <c r="G55" s="585">
        <f>(SUM('[7]Volume Data'!$AI$159:$AI$161)-SUM('[7]Volume Data'!$AJ$159:$AJ$161)-SUM('[7]Volume Data'!$AW$159:$AW$161)-SUM('[7]Volume Data'!$AZ$159:$AZ$161))/1</f>
        <v>4.1899999999999693</v>
      </c>
      <c r="H55" s="585">
        <f>SUM('[7]Volume Data'!$P$159:$P$161)/1</f>
        <v>194.756</v>
      </c>
      <c r="I55" s="591">
        <f>SUM('[7]Volume Data'!$BC$159:$BC$161)/1</f>
        <v>2.2099999999999995</v>
      </c>
      <c r="J55" s="710">
        <f t="shared" si="32"/>
        <v>-1.9984014443252818E-14</v>
      </c>
      <c r="K55" s="589"/>
    </row>
    <row r="56" spans="1:11" ht="15" customHeight="1" x14ac:dyDescent="0.2">
      <c r="A56" s="746" t="s">
        <v>240</v>
      </c>
      <c r="B56" s="602">
        <f t="shared" si="36"/>
        <v>271.95400000000006</v>
      </c>
      <c r="C56" s="585">
        <f>SUM('[7]Volume Data'!$D$162:$D$164)/1</f>
        <v>114.81000000000002</v>
      </c>
      <c r="D56" s="585">
        <f>SUM('[7]Volume Data'!$AZ$162:$AZ$164)/1</f>
        <v>48.89</v>
      </c>
      <c r="E56" s="585">
        <f>SUM('[7]Volume Data'!$AJ$162:$AJ$164)/1</f>
        <v>4.6859999999999999</v>
      </c>
      <c r="F56" s="585">
        <f>SUM('[7]Volume Data'!$AW$162:$AW$164)/1</f>
        <v>38.74</v>
      </c>
      <c r="G56" s="585">
        <f>(SUM('[7]Volume Data'!$AI$162:$AI$164)-SUM('[7]Volume Data'!$AJ$162:$AJ$164)-SUM('[7]Volume Data'!$AW$162:$AW$164)-SUM('[7]Volume Data'!$AZ$162:$AZ$164))/1</f>
        <v>10.010000000000012</v>
      </c>
      <c r="H56" s="585">
        <f>SUM('[7]Volume Data'!$P$162:$P$164)/1</f>
        <v>54.378</v>
      </c>
      <c r="I56" s="591">
        <f>SUM('[7]Volume Data'!$BC$162:$BC$164)/1</f>
        <v>0.44000000000000006</v>
      </c>
      <c r="J56" s="710">
        <f t="shared" si="32"/>
        <v>4.7406523151494184E-14</v>
      </c>
    </row>
    <row r="57" spans="1:11" ht="15" customHeight="1" x14ac:dyDescent="0.2">
      <c r="A57" s="746" t="s">
        <v>241</v>
      </c>
      <c r="B57" s="602">
        <f t="shared" ref="B57:B60" si="37">SUM(C57:I57)</f>
        <v>55.899999999999991</v>
      </c>
      <c r="C57" s="585">
        <f>SUM('[7]Volume Data'!$D$165:$D$167)/1</f>
        <v>17.57</v>
      </c>
      <c r="D57" s="585">
        <f>SUM('[7]Volume Data'!$AZ$165:$AZ$167)/1</f>
        <v>9.9499999999999993</v>
      </c>
      <c r="E57" s="585">
        <f>SUM('[7]Volume Data'!$AJ$165:$AJ$167)/1</f>
        <v>5.99</v>
      </c>
      <c r="F57" s="585">
        <f>SUM('[7]Volume Data'!$AW$165:$AW$167)/1</f>
        <v>7.8</v>
      </c>
      <c r="G57" s="585">
        <f>(SUM('[7]Volume Data'!$AI$165:$AI$167)-SUM('[7]Volume Data'!$AJ$165:$AJ$167)-SUM('[7]Volume Data'!$AW$165:$AW$167)-SUM('[7]Volume Data'!$AZ$165:$AZ$167))/1</f>
        <v>6.5</v>
      </c>
      <c r="H57" s="585">
        <f>SUM('[7]Volume Data'!$P$165:$P$167)/1</f>
        <v>7.93</v>
      </c>
      <c r="I57" s="591">
        <f>SUM('[7]Volume Data'!$BC$165:$BC$167)/1</f>
        <v>0.16</v>
      </c>
      <c r="J57" s="710">
        <f t="shared" si="32"/>
        <v>-6.9666494795228573E-15</v>
      </c>
    </row>
    <row r="58" spans="1:11" ht="15" customHeight="1" x14ac:dyDescent="0.2">
      <c r="A58" s="746" t="s">
        <v>242</v>
      </c>
      <c r="B58" s="602">
        <f t="shared" si="37"/>
        <v>214.50999999999993</v>
      </c>
      <c r="C58" s="585">
        <f>SUM('[7]Volume Data'!$D$168:$D$170)/1</f>
        <v>87.169999999999987</v>
      </c>
      <c r="D58" s="585">
        <f>SUM('[7]Volume Data'!$AZ$168:$AZ$170)/1</f>
        <v>46.489999999999995</v>
      </c>
      <c r="E58" s="585">
        <f>SUM('[7]Volume Data'!$AJ$168:$AJ$170)/1</f>
        <v>11.04</v>
      </c>
      <c r="F58" s="585">
        <f>SUM('[7]Volume Data'!$AW$168:$AW$170)/1</f>
        <v>29.889999999999997</v>
      </c>
      <c r="G58" s="585">
        <f>(SUM('[7]Volume Data'!$AI$168:$AI$170)-SUM('[7]Volume Data'!$AJ$168:$AJ$170)-SUM('[7]Volume Data'!$AW$168:$AW$170)-SUM('[7]Volume Data'!$AZ$168:$AZ$170))/1</f>
        <v>15.460000000000008</v>
      </c>
      <c r="H58" s="585">
        <f>SUM('[7]Volume Data'!$P$168:$P$170)/1</f>
        <v>24.07</v>
      </c>
      <c r="I58" s="591">
        <f>SUM('[7]Volume Data'!$BC$168:$BC$170)/1</f>
        <v>0.39</v>
      </c>
      <c r="J58" s="710">
        <f t="shared" si="32"/>
        <v>-6.3393734706096438E-14</v>
      </c>
    </row>
    <row r="59" spans="1:11" ht="15" customHeight="1" x14ac:dyDescent="0.2">
      <c r="A59" s="746" t="s">
        <v>243</v>
      </c>
      <c r="B59" s="602">
        <f t="shared" si="37"/>
        <v>228.86999999999998</v>
      </c>
      <c r="C59" s="585">
        <f>SUM('[7]Volume Data'!$D$171:$D$173)/1</f>
        <v>131.76999999999998</v>
      </c>
      <c r="D59" s="585">
        <f>SUM('[7]Volume Data'!$AZ$171:$AZ$173)/1</f>
        <v>15.5</v>
      </c>
      <c r="E59" s="585">
        <f>SUM('[7]Volume Data'!$AJ$171:$AJ$173)/1</f>
        <v>8.1300000000000008</v>
      </c>
      <c r="F59" s="585">
        <f>SUM('[7]Volume Data'!$AW$171:$AW$173)/1</f>
        <v>24.7</v>
      </c>
      <c r="G59" s="585">
        <f>(SUM('[7]Volume Data'!$AI$171:$AI$173)-SUM('[7]Volume Data'!$AJ$171:$AJ$173)-SUM('[7]Volume Data'!$AW$171:$AW$173)-SUM('[7]Volume Data'!$AZ$171:$AZ$173))/1</f>
        <v>4.649999999999995</v>
      </c>
      <c r="H59" s="585">
        <f>SUM('[7]Volume Data'!$P$171:$P$173)/1</f>
        <v>43.91</v>
      </c>
      <c r="I59" s="591">
        <f>SUM('[7]Volume Data'!$BC$171:$BC$173)/1</f>
        <v>0.21000000000000002</v>
      </c>
      <c r="J59" s="710">
        <f t="shared" si="32"/>
        <v>7.9380946260698693E-15</v>
      </c>
    </row>
    <row r="60" spans="1:11" ht="15" customHeight="1" x14ac:dyDescent="0.2">
      <c r="A60" s="746" t="s">
        <v>244</v>
      </c>
      <c r="B60" s="602">
        <f t="shared" si="37"/>
        <v>438.11</v>
      </c>
      <c r="C60" s="585">
        <f>SUM('[7]Volume Data'!$D$174:$D$176)/1</f>
        <v>84.809999999999988</v>
      </c>
      <c r="D60" s="585">
        <f>SUM('[7]Volume Data'!$AZ$174:$AZ$176)/1</f>
        <v>99.35</v>
      </c>
      <c r="E60" s="585">
        <f>SUM('[7]Volume Data'!$AJ$174:$AJ$176)/1</f>
        <v>70.2</v>
      </c>
      <c r="F60" s="585">
        <f>SUM('[7]Volume Data'!$AW$174:$AW$176)/1</f>
        <v>131.43</v>
      </c>
      <c r="G60" s="585">
        <f>(SUM('[7]Volume Data'!$AI$174:$AI$176)-SUM('[7]Volume Data'!$AJ$174:$AJ$176)-SUM('[7]Volume Data'!$AW$174:$AW$176)-SUM('[7]Volume Data'!$AZ$174:$AZ$176))/1</f>
        <v>13.950000000000017</v>
      </c>
      <c r="H60" s="585">
        <f>SUM('[7]Volume Data'!$P$174:$P$176)/1</f>
        <v>38.340000000000003</v>
      </c>
      <c r="I60" s="591">
        <f>SUM('[7]Volume Data'!$BC$174:$BC$176)/1</f>
        <v>0.03</v>
      </c>
      <c r="J60" s="710">
        <f t="shared" si="32"/>
        <v>-2.7283730830163222E-14</v>
      </c>
    </row>
    <row r="61" spans="1:11" ht="15" customHeight="1" x14ac:dyDescent="0.2">
      <c r="A61" s="746" t="s">
        <v>245</v>
      </c>
      <c r="B61" s="602">
        <f t="shared" ref="B61:B64" si="38">SUM(C61:I61)</f>
        <v>1904.8530000000001</v>
      </c>
      <c r="C61" s="585">
        <f>SUM('[7]Volume Data'!$D$177:$D$179)/1</f>
        <v>905.8900000000001</v>
      </c>
      <c r="D61" s="585">
        <f>SUM('[7]Volume Data'!$AZ$177:$AZ$179)/1</f>
        <v>316.67</v>
      </c>
      <c r="E61" s="585">
        <f>SUM('[7]Volume Data'!$AJ$177:$AJ$179)/1</f>
        <v>91.749999999999986</v>
      </c>
      <c r="F61" s="585">
        <f>SUM('[7]Volume Data'!$AW$177:$AW$179)/1</f>
        <v>550.53</v>
      </c>
      <c r="G61" s="585">
        <f>(SUM('[7]Volume Data'!$AI$177:$AI$179)-SUM('[7]Volume Data'!$AJ$177:$AJ$179)-SUM('[7]Volume Data'!$AW$177:$AW$179)-SUM('[7]Volume Data'!$AZ$177:$AZ$179))/1</f>
        <v>18.019999999999925</v>
      </c>
      <c r="H61" s="585">
        <f>SUM('[7]Volume Data'!$P$177:$P$179)/1</f>
        <v>21.972999999999999</v>
      </c>
      <c r="I61" s="591">
        <f>SUM('[7]Volume Data'!$BC$177:$BC$179)/1</f>
        <v>0.02</v>
      </c>
      <c r="J61" s="710">
        <f t="shared" si="32"/>
        <v>-3.9794556538907955E-15</v>
      </c>
    </row>
    <row r="62" spans="1:11" ht="15" customHeight="1" x14ac:dyDescent="0.2">
      <c r="A62" s="746" t="s">
        <v>246</v>
      </c>
      <c r="B62" s="602">
        <f t="shared" si="38"/>
        <v>185.58</v>
      </c>
      <c r="C62" s="585">
        <f>SUM('[7]Volume Data'!$D$180:$D$182)/1</f>
        <v>77.050000000000011</v>
      </c>
      <c r="D62" s="585">
        <f>SUM('[7]Volume Data'!$AZ$180:$AZ$182)/1</f>
        <v>25.299999999999997</v>
      </c>
      <c r="E62" s="585">
        <f>SUM('[7]Volume Data'!$AJ$180:$AJ$182)/1</f>
        <v>5.27</v>
      </c>
      <c r="F62" s="585">
        <f>SUM('[7]Volume Data'!$AW$180:$AW$182)/1</f>
        <v>58.6</v>
      </c>
      <c r="G62" s="585">
        <f>(SUM('[7]Volume Data'!$AI$180:$AI$182)-SUM('[7]Volume Data'!$AJ$180:$AJ$182)-SUM('[7]Volume Data'!$AW$180:$AW$182)-SUM('[7]Volume Data'!$AZ$180:$AZ$182))/1</f>
        <v>3.0500000000000043</v>
      </c>
      <c r="H62" s="585">
        <f>SUM('[7]Volume Data'!$P$180:$P$182)/1</f>
        <v>16.22</v>
      </c>
      <c r="I62" s="591">
        <f>SUM('[7]Volume Data'!$BC$180:$BC$182)/1</f>
        <v>0.09</v>
      </c>
      <c r="J62" s="710">
        <f t="shared" si="32"/>
        <v>3.4139358007223564E-15</v>
      </c>
    </row>
    <row r="63" spans="1:11" ht="15" customHeight="1" x14ac:dyDescent="0.2">
      <c r="A63" s="746" t="s">
        <v>247</v>
      </c>
      <c r="B63" s="602">
        <f t="shared" si="38"/>
        <v>222.24</v>
      </c>
      <c r="C63" s="585">
        <f>SUM('[7]Volume Data'!$D$183:$D$185)/1</f>
        <v>58.05</v>
      </c>
      <c r="D63" s="585">
        <f>SUM('[7]Volume Data'!$AZ$183:$AZ$185)/1</f>
        <v>27.75</v>
      </c>
      <c r="E63" s="585">
        <f>SUM('[7]Volume Data'!$AJ$183:$AJ$185)/1</f>
        <v>6.15</v>
      </c>
      <c r="F63" s="585">
        <f>SUM('[7]Volume Data'!$AW$183:$AW$185)/1</f>
        <v>98.539999999999992</v>
      </c>
      <c r="G63" s="585">
        <f>(SUM('[7]Volume Data'!$AI$183:$AI$185)-SUM('[7]Volume Data'!$AJ$183:$AJ$185)-SUM('[7]Volume Data'!$AW$183:$AW$185)-SUM('[7]Volume Data'!$AZ$183:$AZ$185))/1</f>
        <v>3.8799999999999955</v>
      </c>
      <c r="H63" s="585">
        <f>SUM('[7]Volume Data'!$P$183:$P$185)/1</f>
        <v>27.810000000000002</v>
      </c>
      <c r="I63" s="591">
        <f>SUM('[7]Volume Data'!$BC$183:$BC$185)/1</f>
        <v>0.06</v>
      </c>
      <c r="J63" s="710">
        <f t="shared" si="32"/>
        <v>2.2759572004815709E-15</v>
      </c>
    </row>
    <row r="64" spans="1:11" ht="15" customHeight="1" x14ac:dyDescent="0.2">
      <c r="A64" s="746" t="s">
        <v>248</v>
      </c>
      <c r="B64" s="602">
        <f t="shared" si="38"/>
        <v>360.87</v>
      </c>
      <c r="C64" s="585">
        <f>SUM('[7]Volume Data'!$D$186:$D$188)/1</f>
        <v>89.33</v>
      </c>
      <c r="D64" s="585">
        <f>SUM('[7]Volume Data'!$AZ$186:$AZ$188)/1</f>
        <v>24.43</v>
      </c>
      <c r="E64" s="585">
        <f>SUM('[7]Volume Data'!$AJ$186:$AJ$188)/1</f>
        <v>5.12</v>
      </c>
      <c r="F64" s="585">
        <f>SUM('[7]Volume Data'!$AW$186:$AW$188)/1</f>
        <v>206.18</v>
      </c>
      <c r="G64" s="585">
        <f>(SUM('[7]Volume Data'!$AI$186:$AI$188)-SUM('[7]Volume Data'!$AJ$186:$AJ$188)-SUM('[7]Volume Data'!$AW$186:$AW$188)-SUM('[7]Volume Data'!$AZ$186:$AZ$188))/1</f>
        <v>11.749999999999979</v>
      </c>
      <c r="H64" s="585">
        <f>SUM('[7]Volume Data'!$P$186:$P$188)/1</f>
        <v>23.91</v>
      </c>
      <c r="I64" s="591">
        <f>SUM('[7]Volume Data'!$BC$186:$BC$188)/1</f>
        <v>0.15000000000000002</v>
      </c>
      <c r="J64" s="710">
        <f t="shared" si="32"/>
        <v>2.3425705819590803E-14</v>
      </c>
    </row>
    <row r="65" spans="1:10" ht="15" customHeight="1" x14ac:dyDescent="0.2">
      <c r="A65" s="746" t="s">
        <v>249</v>
      </c>
      <c r="B65" s="602">
        <f t="shared" ref="B65:B84" si="39">SUM(C65:I65)</f>
        <v>333.89</v>
      </c>
      <c r="C65" s="602">
        <f>SUM('[7]Volume Data'!$D$189:$D$191)/1</f>
        <v>89.32</v>
      </c>
      <c r="D65" s="602">
        <f>SUM('[7]Volume Data'!$AZ$189:$AZ$191)/1</f>
        <v>41.92</v>
      </c>
      <c r="E65" s="602">
        <f>SUM('[7]Volume Data'!$AJ$189:$AJ$191)/1</f>
        <v>14.79</v>
      </c>
      <c r="F65" s="585">
        <f>SUM('[7]Volume Data'!$AW$189:$AW$191)/1</f>
        <v>152.48000000000002</v>
      </c>
      <c r="G65" s="602">
        <f>(SUM('[7]Volume Data'!$AI$189:$AI$191)-SUM('[7]Volume Data'!$AJ$189:$AJ$191)-SUM('[7]Volume Data'!$AW$189:$AW$191)-SUM('[7]Volume Data'!$AZ$189:$AZ$191))/1</f>
        <v>7.6000000000000085</v>
      </c>
      <c r="H65" s="602">
        <f>SUM('[7]Volume Data'!$P$189:$P$191)/1</f>
        <v>27.51</v>
      </c>
      <c r="I65" s="624">
        <f>SUM('[7]Volume Data'!$BC$189:$BC$191)/1</f>
        <v>0.27</v>
      </c>
      <c r="J65" s="710">
        <f t="shared" si="32"/>
        <v>-4.3076653355456074E-14</v>
      </c>
    </row>
    <row r="66" spans="1:10" ht="15" customHeight="1" x14ac:dyDescent="0.2">
      <c r="A66" s="746" t="s">
        <v>250</v>
      </c>
      <c r="B66" s="602">
        <f t="shared" si="39"/>
        <v>337.23500000000001</v>
      </c>
      <c r="C66" s="602">
        <f>SUM('[7]Volume Data'!$D$192:$D$194)/1</f>
        <v>109.03999999999999</v>
      </c>
      <c r="D66" s="602">
        <f>SUM('[7]Volume Data'!$AZ$192:$AZ$194)/1</f>
        <v>33.5</v>
      </c>
      <c r="E66" s="602">
        <f>SUM('[7]Volume Data'!$AJ$192:$AJ$194)/1</f>
        <v>9.56</v>
      </c>
      <c r="F66" s="585">
        <f>SUM('[7]Volume Data'!$AW$192:$AW$194)/1</f>
        <v>151.25</v>
      </c>
      <c r="G66" s="602">
        <f>(SUM('[7]Volume Data'!$AI$192:$AI$194)-SUM('[7]Volume Data'!$AJ$192:$AJ$194)-SUM('[7]Volume Data'!$AW$192:$AW$194)-SUM('[7]Volume Data'!$AZ$192:$AZ$194))/1</f>
        <v>3.7900000000000205</v>
      </c>
      <c r="H66" s="602">
        <f>SUM('[7]Volume Data'!$P$192:$P$194)/1</f>
        <v>29.834999999999997</v>
      </c>
      <c r="I66" s="624">
        <f>SUM('[7]Volume Data'!$BC$192:$BC$194)/1</f>
        <v>0.26</v>
      </c>
      <c r="J66" s="710">
        <f t="shared" si="32"/>
        <v>1.5543122344752192E-15</v>
      </c>
    </row>
    <row r="67" spans="1:10" ht="15" customHeight="1" x14ac:dyDescent="0.2">
      <c r="A67" s="746" t="s">
        <v>251</v>
      </c>
      <c r="B67" s="602">
        <f t="shared" si="39"/>
        <v>351.17000000000007</v>
      </c>
      <c r="C67" s="602">
        <f>SUM('[7]Volume Data'!$D$195:$D$197)/1</f>
        <v>137.13</v>
      </c>
      <c r="D67" s="602">
        <f>SUM('[7]Volume Data'!$AZ$195:$AZ$197)/1</f>
        <v>47.489999999999995</v>
      </c>
      <c r="E67" s="602">
        <f>SUM('[7]Volume Data'!$AJ$195:$AJ$197)/1</f>
        <v>2.9699999999999998</v>
      </c>
      <c r="F67" s="585">
        <f>SUM('[7]Volume Data'!$AW$195:$AW$197)/1</f>
        <v>90.95</v>
      </c>
      <c r="G67" s="602">
        <f>(SUM('[7]Volume Data'!$AI$195:$AI$197)-SUM('[7]Volume Data'!$AJ$195:$AJ$197)-SUM('[7]Volume Data'!$AW$195:$AW$197)-SUM('[7]Volume Data'!$AZ$195:$AZ$197))/1</f>
        <v>3.3900000000000148</v>
      </c>
      <c r="H67" s="602">
        <f>SUM('[7]Volume Data'!$P$195:$P$197)/1</f>
        <v>69.009999999999991</v>
      </c>
      <c r="I67" s="624">
        <f>SUM('[7]Volume Data'!$BC$195:$BC$197)/1</f>
        <v>0.23000000000000004</v>
      </c>
      <c r="J67" s="710">
        <f t="shared" si="32"/>
        <v>6.0784710598227321E-14</v>
      </c>
    </row>
    <row r="68" spans="1:10" ht="15" customHeight="1" x14ac:dyDescent="0.2">
      <c r="A68" s="746" t="s">
        <v>252</v>
      </c>
      <c r="B68" s="602">
        <f t="shared" si="39"/>
        <v>1254.47</v>
      </c>
      <c r="C68" s="602">
        <f>SUM('[7]Volume Data'!$D$198:$D$200)/1</f>
        <v>335.68999999999994</v>
      </c>
      <c r="D68" s="602">
        <f>SUM('[7]Volume Data'!$AZ$198:$AZ$200)/1</f>
        <v>56.26</v>
      </c>
      <c r="E68" s="602">
        <f>SUM('[7]Volume Data'!$AJ$198:$AJ$200)/1</f>
        <v>7.22</v>
      </c>
      <c r="F68" s="585">
        <f>SUM('[7]Volume Data'!$AW$198:$AW$200)/1</f>
        <v>745.17000000000007</v>
      </c>
      <c r="G68" s="602">
        <f>(SUM('[7]Volume Data'!$AI$198:$AI$200)-SUM('[7]Volume Data'!$AJ$198:$AJ$200)-SUM('[7]Volume Data'!$AW$198:$AW$200)-SUM('[7]Volume Data'!$AZ$198:$AZ$200))/1</f>
        <v>15.849999999999902</v>
      </c>
      <c r="H68" s="602">
        <f>SUM('[7]Volume Data'!$P$198:$P$200)/1</f>
        <v>93.91</v>
      </c>
      <c r="I68" s="624">
        <f>SUM('[7]Volume Data'!$BC$198:$BC$200)/1</f>
        <v>0.37</v>
      </c>
      <c r="J68" s="710">
        <f t="shared" si="32"/>
        <v>8.9817042692175164E-14</v>
      </c>
    </row>
    <row r="69" spans="1:10" ht="15" customHeight="1" x14ac:dyDescent="0.2">
      <c r="A69" s="746" t="s">
        <v>253</v>
      </c>
      <c r="B69" s="602">
        <f t="shared" si="39"/>
        <v>950.48</v>
      </c>
      <c r="C69" s="602">
        <f>SUM('[7]Volume Data'!$D$201:$D$203)/1</f>
        <v>471.76</v>
      </c>
      <c r="D69" s="602">
        <f>SUM('[7]Volume Data'!$AZ$201:$AZ$203)/1</f>
        <v>78.61</v>
      </c>
      <c r="E69" s="602">
        <f>SUM('[7]Volume Data'!$AJ$201:$AJ$203)/1</f>
        <v>28.800000000000004</v>
      </c>
      <c r="F69" s="602">
        <f>SUM('[7]Volume Data'!$AW$201:$AW$203)/1</f>
        <v>267.82</v>
      </c>
      <c r="G69" s="602">
        <f>(SUM('[7]Volume Data'!$AI$201:$AI$203)-SUM('[7]Volume Data'!$AJ$201:$AJ$203)-SUM('[7]Volume Data'!$AW$201:$AW$203)-SUM('[7]Volume Data'!$AZ$201:$AZ$203))/1</f>
        <v>14.750000000000014</v>
      </c>
      <c r="H69" s="602">
        <f>SUM('[7]Volume Data'!$P$201:$P$203)/1</f>
        <v>88.019999999999982</v>
      </c>
      <c r="I69" s="624">
        <f>SUM('[7]Volume Data'!$BC$201:$BC$203)/1</f>
        <v>0.72000000000000008</v>
      </c>
      <c r="J69" s="710">
        <f t="shared" si="32"/>
        <v>1.2989609388114332E-14</v>
      </c>
    </row>
    <row r="70" spans="1:10" ht="15" customHeight="1" x14ac:dyDescent="0.2">
      <c r="A70" s="746" t="s">
        <v>254</v>
      </c>
      <c r="B70" s="602">
        <f t="shared" si="39"/>
        <v>747.11</v>
      </c>
      <c r="C70" s="602">
        <f>SUM('[7]Volume Data'!$D$204:$D$206)/1</f>
        <v>393</v>
      </c>
      <c r="D70" s="602">
        <f>SUM('[7]Volume Data'!$AZ$204:$AZ$206)/1</f>
        <v>106.35</v>
      </c>
      <c r="E70" s="602">
        <f>SUM('[7]Volume Data'!$AJ$204:$AJ$206)/1</f>
        <v>16.48</v>
      </c>
      <c r="F70" s="602">
        <f>SUM('[7]Volume Data'!$AW$204:$AW$206)/1</f>
        <v>121.41999999999999</v>
      </c>
      <c r="G70" s="602">
        <f>(SUM('[7]Volume Data'!$AI$204:$AI$206)-SUM('[7]Volume Data'!$AJ$204:$AJ$206)-SUM('[7]Volume Data'!$AW$204:$AW$206)-SUM('[7]Volume Data'!$AZ$204:$AZ$206))/1</f>
        <v>30.600000000000023</v>
      </c>
      <c r="H70" s="602">
        <f>SUM('[7]Volume Data'!$P$204:$P$206)/1</f>
        <v>78.169999999999987</v>
      </c>
      <c r="I70" s="624">
        <f>SUM('[7]Volume Data'!$BC$204:$BC$206)/1</f>
        <v>1.0899999999999999</v>
      </c>
      <c r="J70" s="710">
        <f t="shared" si="32"/>
        <v>3.1974423109204508E-14</v>
      </c>
    </row>
    <row r="71" spans="1:10" ht="15" customHeight="1" x14ac:dyDescent="0.2">
      <c r="A71" s="746" t="s">
        <v>255</v>
      </c>
      <c r="B71" s="602">
        <f t="shared" si="39"/>
        <v>579.2399999999999</v>
      </c>
      <c r="C71" s="602">
        <f>SUM('[7]Volume Data'!$D$207:$D$209)/1</f>
        <v>282.52</v>
      </c>
      <c r="D71" s="602">
        <f>SUM('[7]Volume Data'!$AZ$207:$AZ$209)/1</f>
        <v>86.87</v>
      </c>
      <c r="E71" s="602">
        <f>SUM('[7]Volume Data'!$AJ$207:$AJ$209)/1</f>
        <v>16.03</v>
      </c>
      <c r="F71" s="602">
        <f>SUM('[7]Volume Data'!$AW$207:$AW$209)/1</f>
        <v>83.65</v>
      </c>
      <c r="G71" s="602">
        <f>(SUM('[7]Volume Data'!$AI$207:$AI$209)-SUM('[7]Volume Data'!$AJ$207:$AJ$209)-SUM('[7]Volume Data'!$AW$207:$AW$209)-SUM('[7]Volume Data'!$AZ$207:$AZ$209))/1</f>
        <v>9.6599999999999682</v>
      </c>
      <c r="H71" s="602">
        <f>SUM('[7]Volume Data'!$P$207:$P$209)/1</f>
        <v>100.14</v>
      </c>
      <c r="I71" s="624">
        <f>SUM('[7]Volume Data'!$BC$207:$BC$209)/1</f>
        <v>0.37</v>
      </c>
      <c r="J71" s="710">
        <f t="shared" si="32"/>
        <v>-6.6502359175046877E-14</v>
      </c>
    </row>
    <row r="72" spans="1:10" ht="15" customHeight="1" x14ac:dyDescent="0.2">
      <c r="A72" s="746" t="s">
        <v>256</v>
      </c>
      <c r="B72" s="602">
        <f t="shared" si="39"/>
        <v>617.25</v>
      </c>
      <c r="C72" s="602">
        <f>SUM('[7]Volume Data'!$D$210:$D$212)/1</f>
        <v>222.11</v>
      </c>
      <c r="D72" s="602">
        <f>SUM('[7]Volume Data'!$AZ$210:$AZ$212)/1</f>
        <v>96.77</v>
      </c>
      <c r="E72" s="602">
        <f>SUM('[7]Volume Data'!$AJ$210:$AJ$212)/1</f>
        <v>10.530000000000001</v>
      </c>
      <c r="F72" s="602">
        <f>SUM('[7]Volume Data'!$AW$210:$AW$212)/1</f>
        <v>124.56</v>
      </c>
      <c r="G72" s="602">
        <f>(SUM('[7]Volume Data'!$AI$210:$AI$212)-SUM('[7]Volume Data'!$AJ$210:$AJ$212)-SUM('[7]Volume Data'!$AW$210:$AW$212)-SUM('[7]Volume Data'!$AZ$210:$AZ$212))/1</f>
        <v>32.899999999999991</v>
      </c>
      <c r="H72" s="602">
        <f>SUM('[7]Volume Data'!$P$210:$P$212)/1</f>
        <v>130.03</v>
      </c>
      <c r="I72" s="624">
        <f>SUM('[7]Volume Data'!$BC$210:$BC$212)/1</f>
        <v>0.35</v>
      </c>
      <c r="J72" s="710">
        <f t="shared" si="32"/>
        <v>5.1181281435219717E-14</v>
      </c>
    </row>
    <row r="73" spans="1:10" ht="15" customHeight="1" x14ac:dyDescent="0.2">
      <c r="A73" s="746" t="s">
        <v>257</v>
      </c>
      <c r="B73" s="602">
        <f t="shared" si="39"/>
        <v>487.40000000000009</v>
      </c>
      <c r="C73" s="602">
        <f>SUM('[7]Volume Data'!$D$213:$D$215)/1</f>
        <v>191.97000000000003</v>
      </c>
      <c r="D73" s="602">
        <f>SUM('[7]Volume Data'!$AZ$213:$AZ$215)/1</f>
        <v>77.67</v>
      </c>
      <c r="E73" s="602">
        <f>SUM('[7]Volume Data'!$AJ$213:$AJ$215)/1</f>
        <v>19.86</v>
      </c>
      <c r="F73" s="602">
        <f>SUM('[7]Volume Data'!$AW$213:$AW$215)/1</f>
        <v>138.68</v>
      </c>
      <c r="G73" s="602">
        <f>(SUM('[7]Volume Data'!$AI$213:$AI$215)-SUM('[7]Volume Data'!$AJ$213:$AJ$215)-SUM('[7]Volume Data'!$AW$213:$AW$215)-SUM('[7]Volume Data'!$AZ$213:$AZ$215))/1</f>
        <v>15.38000000000001</v>
      </c>
      <c r="H73" s="602">
        <f>SUM('[7]Volume Data'!$P$213:$P$215)/1</f>
        <v>43.09</v>
      </c>
      <c r="I73" s="624">
        <f>SUM('[7]Volume Data'!$BC$213:$BC$215)/1</f>
        <v>0.75</v>
      </c>
      <c r="J73" s="710">
        <f t="shared" si="32"/>
        <v>1.4210854715202004E-14</v>
      </c>
    </row>
    <row r="74" spans="1:10" ht="15" customHeight="1" x14ac:dyDescent="0.2">
      <c r="A74" s="746" t="s">
        <v>258</v>
      </c>
      <c r="B74" s="602">
        <f t="shared" si="39"/>
        <v>531.13</v>
      </c>
      <c r="C74" s="602">
        <f>SUM('[7]Volume Data'!$D$216:$D$218)/1</f>
        <v>244.61</v>
      </c>
      <c r="D74" s="602">
        <f>SUM('[7]Volume Data'!$AZ$216:$AZ$218)/1</f>
        <v>91.18</v>
      </c>
      <c r="E74" s="602">
        <f>SUM('[7]Volume Data'!$AJ$216:$AJ$218)/1</f>
        <v>11.09</v>
      </c>
      <c r="F74" s="602">
        <f>SUM('[7]Volume Data'!$AW$216:$AW$218)/1</f>
        <v>129.25</v>
      </c>
      <c r="G74" s="602">
        <f>(SUM('[7]Volume Data'!$AI$216:$AI$218)-SUM('[7]Volume Data'!$AJ$216:$AJ$218)-SUM('[7]Volume Data'!$AW$216:$AW$218)-SUM('[7]Volume Data'!$AZ$216:$AZ$218))/1</f>
        <v>12.859999999999985</v>
      </c>
      <c r="H74" s="602">
        <f>SUM('[7]Volume Data'!$P$216:$P$218)/1</f>
        <v>40.629999999999995</v>
      </c>
      <c r="I74" s="624">
        <f>SUM('[7]Volume Data'!$BC$216:$BC$218)/1</f>
        <v>1.51</v>
      </c>
      <c r="J74" s="710">
        <f t="shared" si="32"/>
        <v>-9.1038288019262836E-15</v>
      </c>
    </row>
    <row r="75" spans="1:10" ht="15" customHeight="1" x14ac:dyDescent="0.2">
      <c r="A75" s="746" t="s">
        <v>259</v>
      </c>
      <c r="B75" s="602">
        <f t="shared" si="39"/>
        <v>1074.1699999999998</v>
      </c>
      <c r="C75" s="602">
        <f>SUM('[7]Volume Data'!$D$219:$D$221)/1</f>
        <v>627.70000000000005</v>
      </c>
      <c r="D75" s="602">
        <f>SUM('[7]Volume Data'!$AZ$219:$AZ$221)/1</f>
        <v>155.31</v>
      </c>
      <c r="E75" s="602">
        <f>SUM('[7]Volume Data'!$AJ$219:$AJ$221)/1</f>
        <v>7.68</v>
      </c>
      <c r="F75" s="602">
        <f>SUM('[7]Volume Data'!$AW$219:$AW$221)/1</f>
        <v>143.04</v>
      </c>
      <c r="G75" s="602">
        <f>(SUM('[7]Volume Data'!$AI$219:$AI$221)-SUM('[7]Volume Data'!$AJ$219:$AJ$221)-SUM('[7]Volume Data'!$AW$219:$AW$221)-SUM('[7]Volume Data'!$AZ$219:$AZ$221))/1</f>
        <v>14.929999999999978</v>
      </c>
      <c r="H75" s="602">
        <f>SUM('[7]Volume Data'!$P$219:$P$221)/1</f>
        <v>123.08000000000001</v>
      </c>
      <c r="I75" s="624">
        <f>SUM('[7]Volume Data'!$BC$219:$BC$221)/1</f>
        <v>2.4299999999999997</v>
      </c>
      <c r="J75" s="710">
        <f t="shared" si="32"/>
        <v>-1.9184653865522705E-13</v>
      </c>
    </row>
    <row r="76" spans="1:10" ht="15" customHeight="1" x14ac:dyDescent="0.2">
      <c r="A76" s="746" t="s">
        <v>260</v>
      </c>
      <c r="B76" s="602">
        <f t="shared" si="39"/>
        <v>1288.1600000000001</v>
      </c>
      <c r="C76" s="602">
        <f>SUM('[7]Volume Data'!$D$222:$D$224)/1</f>
        <v>517.5</v>
      </c>
      <c r="D76" s="602">
        <f>SUM('[7]Volume Data'!$AZ$222:$AZ$224)/1</f>
        <v>136.93</v>
      </c>
      <c r="E76" s="602">
        <f>SUM('[7]Volume Data'!$AJ$222:$AJ$224)/1</f>
        <v>20.380000000000003</v>
      </c>
      <c r="F76" s="602">
        <f>SUM('[7]Volume Data'!$AW$222:$AW$224)/1</f>
        <v>366.64</v>
      </c>
      <c r="G76" s="602">
        <f>(SUM('[7]Volume Data'!$AI$222:$AI$224)-SUM('[7]Volume Data'!$AJ$222:$AJ$224)-SUM('[7]Volume Data'!$AW$222:$AW$224)-SUM('[7]Volume Data'!$AZ$222:$AZ$224))/1</f>
        <v>50.930000000000007</v>
      </c>
      <c r="H76" s="602">
        <f>SUM('[7]Volume Data'!$P$222:$P$224)/1</f>
        <v>193.49</v>
      </c>
      <c r="I76" s="624">
        <f>SUM('[7]Volume Data'!$BC$222:$BC$224)/1</f>
        <v>2.29</v>
      </c>
      <c r="J76" s="710">
        <f t="shared" si="32"/>
        <v>2.042810365310288E-14</v>
      </c>
    </row>
    <row r="77" spans="1:10" ht="15" customHeight="1" x14ac:dyDescent="0.2">
      <c r="A77" s="746" t="s">
        <v>261</v>
      </c>
      <c r="B77" s="602">
        <f t="shared" si="39"/>
        <v>1067.2760000000001</v>
      </c>
      <c r="C77" s="602">
        <f>SUM('[7]Volume Data'!$D$225:$D$227)/1</f>
        <v>546.17999999999995</v>
      </c>
      <c r="D77" s="602">
        <f>SUM('[7]Volume Data'!$AZ$225:$AZ$227)/1</f>
        <v>152.01999999999998</v>
      </c>
      <c r="E77" s="602">
        <f>SUM('[7]Volume Data'!$AJ$225:$AJ$227)/1</f>
        <v>33.25</v>
      </c>
      <c r="F77" s="602">
        <f>SUM('[7]Volume Data'!$AW$225:$AW$227)/1</f>
        <v>149.32</v>
      </c>
      <c r="G77" s="602">
        <f>(SUM('[7]Volume Data'!$AI$225:$AI$227)-SUM('[7]Volume Data'!$AJ$225:$AJ$227)-SUM('[7]Volume Data'!$AW$225:$AW$227)-SUM('[7]Volume Data'!$AZ$225:$AZ$227))/1</f>
        <v>51.350000000000023</v>
      </c>
      <c r="H77" s="602">
        <f>SUM('[7]Volume Data'!$P$225:$P$227)/1</f>
        <v>133.48599999999999</v>
      </c>
      <c r="I77" s="624">
        <f>SUM('[7]Volume Data'!$BC$225:$BC$227)/1</f>
        <v>1.6700000000000002</v>
      </c>
      <c r="J77" s="710">
        <f t="shared" si="32"/>
        <v>1.2945200467129325E-13</v>
      </c>
    </row>
    <row r="78" spans="1:10" ht="15" customHeight="1" x14ac:dyDescent="0.2">
      <c r="A78" s="746" t="s">
        <v>262</v>
      </c>
      <c r="B78" s="602">
        <f t="shared" si="39"/>
        <v>859.6880000000001</v>
      </c>
      <c r="C78" s="602">
        <f>SUM('[7]Volume Data'!$D$228:$D$230)/1</f>
        <v>593.73</v>
      </c>
      <c r="D78" s="602">
        <f>SUM('[7]Volume Data'!$AZ$228:$AZ$230)/1</f>
        <v>97.98</v>
      </c>
      <c r="E78" s="602">
        <f>SUM('[7]Volume Data'!$AJ$228:$AJ$230)/1</f>
        <v>17.39</v>
      </c>
      <c r="F78" s="602">
        <f>SUM('[7]Volume Data'!$AW$228:$AW$230)/1</f>
        <v>97.62</v>
      </c>
      <c r="G78" s="602">
        <f>(SUM('[7]Volume Data'!$AI$228:$AI$230)-SUM('[7]Volume Data'!$AJ$228:$AJ$230)-SUM('[7]Volume Data'!$AW$228:$AW$230)-SUM('[7]Volume Data'!$AZ$228:$AZ$230))/1</f>
        <v>10.010000000000005</v>
      </c>
      <c r="H78" s="602">
        <f>SUM('[7]Volume Data'!$P$228:$P$230)/1</f>
        <v>42.517999999999994</v>
      </c>
      <c r="I78" s="624">
        <f>SUM('[7]Volume Data'!$BC$228:$BC$230)/1</f>
        <v>0.44</v>
      </c>
      <c r="J78" s="710">
        <f t="shared" si="32"/>
        <v>7.588374373312945E-14</v>
      </c>
    </row>
    <row r="79" spans="1:10" ht="15" customHeight="1" x14ac:dyDescent="0.2">
      <c r="A79" s="746" t="s">
        <v>263</v>
      </c>
      <c r="B79" s="602">
        <f t="shared" si="39"/>
        <v>678.85500000000002</v>
      </c>
      <c r="C79" s="602">
        <f>SUM('[7]Volume Data'!$D$231:$D$233)/1</f>
        <v>429.09000000000003</v>
      </c>
      <c r="D79" s="602">
        <f>SUM('[7]Volume Data'!$AZ$231:$AZ$233)/1</f>
        <v>85.64</v>
      </c>
      <c r="E79" s="602">
        <f>SUM('[7]Volume Data'!$AJ$231:$AJ$233)/1</f>
        <v>10.370000000000001</v>
      </c>
      <c r="F79" s="602">
        <f>SUM('[7]Volume Data'!$AW$231:$AW$233)/1</f>
        <v>94.03</v>
      </c>
      <c r="G79" s="602">
        <f>(SUM('[7]Volume Data'!$AI$231:$AI$233)-SUM('[7]Volume Data'!$AJ$231:$AJ$233)-SUM('[7]Volume Data'!$AW$231:$AW$233)-SUM('[7]Volume Data'!$AZ$231:$AZ$233))/1</f>
        <v>3.8589999999999947</v>
      </c>
      <c r="H79" s="602">
        <f>SUM('[7]Volume Data'!$P$231:$P$233)/1</f>
        <v>55.596000000000004</v>
      </c>
      <c r="I79" s="624">
        <f>SUM('[7]Volume Data'!$BC$231:$BC$233)/1</f>
        <v>0.27</v>
      </c>
      <c r="J79" s="710">
        <f t="shared" si="32"/>
        <v>-3.9968028886505635E-15</v>
      </c>
    </row>
    <row r="80" spans="1:10" ht="15" customHeight="1" x14ac:dyDescent="0.2">
      <c r="A80" s="746" t="s">
        <v>264</v>
      </c>
      <c r="B80" s="602">
        <f t="shared" si="39"/>
        <v>602.34499999999991</v>
      </c>
      <c r="C80" s="602">
        <f>SUM('[7]Volume Data'!$D$234:$D$236)/1</f>
        <v>219.59999999999997</v>
      </c>
      <c r="D80" s="602">
        <f>SUM('[7]Volume Data'!$AZ$234:$AZ$236)/1</f>
        <v>72.349999999999994</v>
      </c>
      <c r="E80" s="602">
        <f>SUM('[7]Volume Data'!$AJ$234:$AJ$236)/1</f>
        <v>9.39</v>
      </c>
      <c r="F80" s="602">
        <f>SUM('[7]Volume Data'!$AW$234:$AW$236)/1</f>
        <v>239.67</v>
      </c>
      <c r="G80" s="602">
        <f>(SUM('[7]Volume Data'!$AI$234:$AI$236)-SUM('[7]Volume Data'!$AJ$234:$AJ$236)-SUM('[7]Volume Data'!$AW$234:$AW$236)-SUM('[7]Volume Data'!$AZ$234:$AZ$236))/1</f>
        <v>18.985000000000014</v>
      </c>
      <c r="H80" s="602">
        <f>SUM('[7]Volume Data'!$P$234:$P$236)/1</f>
        <v>41.86</v>
      </c>
      <c r="I80" s="624">
        <f>SUM('[7]Volume Data'!$BC$234:$BC$236)/1</f>
        <v>0.49</v>
      </c>
      <c r="J80" s="710">
        <f t="shared" si="32"/>
        <v>-5.1070259132757201E-15</v>
      </c>
    </row>
    <row r="81" spans="1:10" ht="15" customHeight="1" x14ac:dyDescent="0.2">
      <c r="A81" s="794" t="s">
        <v>265</v>
      </c>
      <c r="B81" s="585">
        <f t="shared" si="39"/>
        <v>832.5350000000002</v>
      </c>
      <c r="C81" s="585">
        <f>SUM('[7]Volume Data'!$D$237:$D$239)/1</f>
        <v>420.87</v>
      </c>
      <c r="D81" s="585">
        <f>SUM('[7]Volume Data'!$AZ$237:$AZ$239)/1</f>
        <v>125.31</v>
      </c>
      <c r="E81" s="585">
        <f>SUM('[7]Volume Data'!$AJ$237:$AJ$239)/1</f>
        <v>37.03</v>
      </c>
      <c r="F81" s="585">
        <f>SUM('[7]Volume Data'!$AW$237:$AW$239)/1</f>
        <v>108.18</v>
      </c>
      <c r="G81" s="585">
        <f>(SUM('[7]Volume Data'!$AI$237:$AI$239)-SUM('[7]Volume Data'!$AJ$237:$AJ$239)-SUM('[7]Volume Data'!$AW$237:$AW$239)-SUM('[7]Volume Data'!$AZ$237:$AZ$239))/1</f>
        <v>28.670000000000073</v>
      </c>
      <c r="H81" s="585">
        <f>SUM('[7]Volume Data'!$P$237:$P$239)/1</f>
        <v>111.64500000000001</v>
      </c>
      <c r="I81" s="591">
        <f>SUM('[7]Volume Data'!$BC$237:$BC$239)/1</f>
        <v>0.82999999999999985</v>
      </c>
      <c r="J81" s="710">
        <f t="shared" si="32"/>
        <v>9.7921670771938807E-14</v>
      </c>
    </row>
    <row r="82" spans="1:10" ht="15" customHeight="1" x14ac:dyDescent="0.2">
      <c r="A82" s="794" t="s">
        <v>266</v>
      </c>
      <c r="B82" s="585">
        <f t="shared" si="39"/>
        <v>1071.9149999999997</v>
      </c>
      <c r="C82" s="585">
        <f>SUM('[7]Volume Data'!$D$240:$D$242)/1</f>
        <v>687.14</v>
      </c>
      <c r="D82" s="585">
        <f>SUM('[7]Volume Data'!$AZ$240:$AZ$242)/1</f>
        <v>131.41</v>
      </c>
      <c r="E82" s="585">
        <f>SUM('[7]Volume Data'!$AJ$240:$AJ$242)/1</f>
        <v>38.660000000000004</v>
      </c>
      <c r="F82" s="585">
        <f>SUM('[7]Volume Data'!$AW$240:$AW$242)/1</f>
        <v>120.88</v>
      </c>
      <c r="G82" s="585">
        <f>(SUM('[7]Volume Data'!$AI$240:$AI$242)-SUM('[7]Volume Data'!$AJ$240:$AJ$242)-SUM('[7]Volume Data'!$AW$240:$AW$242)-SUM('[7]Volume Data'!$AZ$240:$AZ$242))/1</f>
        <v>29.059999999999974</v>
      </c>
      <c r="H82" s="585">
        <f>SUM('[7]Volume Data'!$P$240:$P$242)/1</f>
        <v>63.744999999999997</v>
      </c>
      <c r="I82" s="591">
        <f>SUM('[7]Volume Data'!$BC$240:$BC$242)/1</f>
        <v>1.02</v>
      </c>
      <c r="J82" s="710">
        <f t="shared" si="32"/>
        <v>-2.1005419625907962E-13</v>
      </c>
    </row>
    <row r="83" spans="1:10" ht="15" customHeight="1" x14ac:dyDescent="0.2">
      <c r="A83" s="794" t="s">
        <v>267</v>
      </c>
      <c r="B83" s="585">
        <f t="shared" si="39"/>
        <v>1033.5749999999998</v>
      </c>
      <c r="C83" s="585">
        <f>SUM('[7]Volume Data'!$D$243:$D$245)/1</f>
        <v>592.23</v>
      </c>
      <c r="D83" s="585">
        <f>SUM('[7]Volume Data'!$AZ$243:$AZ$245)/1</f>
        <v>151.77000000000001</v>
      </c>
      <c r="E83" s="585">
        <f>SUM('[7]Volume Data'!$AJ$243:$AJ$245)/1</f>
        <v>23.769999999999996</v>
      </c>
      <c r="F83" s="585">
        <f>SUM('[7]Volume Data'!$AW$243:$AW$245)/1</f>
        <v>167.22</v>
      </c>
      <c r="G83" s="585">
        <f>(SUM('[7]Volume Data'!$AI$243:$AI$245)-SUM('[7]Volume Data'!$AJ$243:$AJ$245)-SUM('[7]Volume Data'!$AW$243:$AW$245)-SUM('[7]Volume Data'!$AZ$243:$AZ$245))/1</f>
        <v>16.919999999999959</v>
      </c>
      <c r="H83" s="585">
        <f>SUM('[7]Volume Data'!$P$243:$P$245)/1</f>
        <v>81.344999999999999</v>
      </c>
      <c r="I83" s="591">
        <f>SUM('[7]Volume Data'!$BC$243:$BC$245)/1</f>
        <v>0.32000000000000006</v>
      </c>
      <c r="J83" s="710">
        <f t="shared" si="32"/>
        <v>-1.20570220474292E-13</v>
      </c>
    </row>
    <row r="84" spans="1:10" ht="12.9" customHeight="1" x14ac:dyDescent="0.2">
      <c r="A84" s="794" t="s">
        <v>268</v>
      </c>
      <c r="B84" s="585">
        <f t="shared" si="39"/>
        <v>981.93100000000015</v>
      </c>
      <c r="C84" s="585">
        <f>SUM('[7]Volume Data'!$D$246:$D$248)/1</f>
        <v>371</v>
      </c>
      <c r="D84" s="585">
        <f>SUM('[7]Volume Data'!$AZ$246:$AZ$248)/1</f>
        <v>74.92</v>
      </c>
      <c r="E84" s="585">
        <f>SUM('[7]Volume Data'!$AJ$246:$AJ$248)/1</f>
        <v>25.77</v>
      </c>
      <c r="F84" s="585">
        <f>SUM('[7]Volume Data'!$AW$246:$AW$248)/1</f>
        <v>340.59999999999997</v>
      </c>
      <c r="G84" s="585">
        <f>(SUM('[7]Volume Data'!$AI$246:$AI$248)-SUM('[7]Volume Data'!$AJ$246:$AJ$248)-SUM('[7]Volume Data'!$AW$246:$AW$248)-SUM('[7]Volume Data'!$AZ$246:$AZ$248))/1</f>
        <v>49.275000000000105</v>
      </c>
      <c r="H84" s="585">
        <f>SUM('[7]Volume Data'!$P$246:$P$248)/1</f>
        <v>120.02600000000001</v>
      </c>
      <c r="I84" s="591">
        <f>SUM('[7]Volume Data'!$BC$246:$BC$248)/1</f>
        <v>0.33999999999999997</v>
      </c>
      <c r="J84" s="710">
        <f t="shared" si="32"/>
        <v>1.3133938381315602E-13</v>
      </c>
    </row>
    <row r="85" spans="1:10" ht="15" customHeight="1" x14ac:dyDescent="0.2">
      <c r="A85" s="794" t="s">
        <v>269</v>
      </c>
      <c r="B85" s="585">
        <f>SUM(C85:I85)</f>
        <v>753.69799999999987</v>
      </c>
      <c r="C85" s="585">
        <f>SUM('[7]Volume Data'!$D$249:$D$251)/1</f>
        <v>337.57</v>
      </c>
      <c r="D85" s="585">
        <f>SUM('[7]Volume Data'!$AZ$249:$AZ$251)/1</f>
        <v>98.12</v>
      </c>
      <c r="E85" s="585">
        <f>SUM('[7]Volume Data'!$AJ$249:$AJ$251)/1</f>
        <v>22.11</v>
      </c>
      <c r="F85" s="585">
        <f>SUM('[7]Volume Data'!$AW$249:$AW$251)/1</f>
        <v>213.20999999999998</v>
      </c>
      <c r="G85" s="585">
        <f>(SUM('[7]Volume Data'!$AI$249:$AI$251)-SUM('[7]Volume Data'!$AJ$249:$AJ$251)-SUM('[7]Volume Data'!$AW$249:$AW$251)-SUM('[7]Volume Data'!$AZ$249:$AZ$251))/1</f>
        <v>41.407999999999959</v>
      </c>
      <c r="H85" s="585">
        <f>SUM('[7]Volume Data'!$P$249:$P$251)/1</f>
        <v>40.92</v>
      </c>
      <c r="I85" s="591">
        <f>SUM('[7]Volume Data'!$BC$249:$BC$251)/1</f>
        <v>0.36000000000000004</v>
      </c>
      <c r="J85" s="710">
        <f t="shared" ref="J85:J125" si="40">B85-C85-D85-E85-F85-G85-H85-I85</f>
        <v>-8.5875750954755858E-14</v>
      </c>
    </row>
    <row r="86" spans="1:10" ht="15" customHeight="1" x14ac:dyDescent="0.2">
      <c r="A86" s="794" t="s">
        <v>270</v>
      </c>
      <c r="B86" s="585">
        <f>SUM(C86:I86)</f>
        <v>1126.2459999999999</v>
      </c>
      <c r="C86" s="585">
        <f>SUM('[7]Volume Data'!$D$252:$D$254)/1</f>
        <v>635.16</v>
      </c>
      <c r="D86" s="585">
        <f>SUM('[7]Volume Data'!$AZ$252:$AZ$254)/1</f>
        <v>167.2</v>
      </c>
      <c r="E86" s="585">
        <f>SUM('[7]Volume Data'!$AJ$252:$AJ$254)/1</f>
        <v>51.58</v>
      </c>
      <c r="F86" s="585">
        <f>SUM('[7]Volume Data'!$AW$252:$AW$254)/1</f>
        <v>177.15</v>
      </c>
      <c r="G86" s="585">
        <f>(SUM('[7]Volume Data'!$AI$252:$AI$254)-SUM('[7]Volume Data'!$AJ$252:$AJ$254)-SUM('[7]Volume Data'!$AW$252:$AW$254)-SUM('[7]Volume Data'!$AZ$252:$AZ$254))/1</f>
        <v>41.943999999999932</v>
      </c>
      <c r="H86" s="585">
        <f>SUM('[7]Volume Data'!$P$252:$P$254)/1</f>
        <v>52.552</v>
      </c>
      <c r="I86" s="591">
        <f>SUM('[7]Volume Data'!$BC$252:$BC$254)/1</f>
        <v>0.66</v>
      </c>
      <c r="J86" s="710">
        <f t="shared" si="40"/>
        <v>-1.0547118733938987E-14</v>
      </c>
    </row>
    <row r="87" spans="1:10" ht="15" customHeight="1" x14ac:dyDescent="0.2">
      <c r="A87" s="794" t="s">
        <v>271</v>
      </c>
      <c r="B87" s="585">
        <f>SUM(C87:I87)</f>
        <v>958.26299999999992</v>
      </c>
      <c r="C87" s="585">
        <f>SUM('[7]Volume Data'!$D$255:$D$257)/1</f>
        <v>554.57000000000005</v>
      </c>
      <c r="D87" s="585">
        <f>SUM('[7]Volume Data'!$AZ$255:$AZ$257)/1</f>
        <v>132.28</v>
      </c>
      <c r="E87" s="585">
        <f>SUM('[7]Volume Data'!$AJ$255:$AJ$257)/1</f>
        <v>31.92</v>
      </c>
      <c r="F87" s="585">
        <f>SUM('[7]Volume Data'!$AW$255:$AW$257)/1</f>
        <v>144.51</v>
      </c>
      <c r="G87" s="585">
        <f>(SUM('[7]Volume Data'!$AI$255:$AI$257)-SUM('[7]Volume Data'!$AJ$255:$AJ$257)-SUM('[7]Volume Data'!$AW$255:$AW$257)-SUM('[7]Volume Data'!$AZ$255:$AZ$257))/1</f>
        <v>15.089999999999947</v>
      </c>
      <c r="H87" s="585">
        <f>SUM('[7]Volume Data'!$P$255:$P$257)/1</f>
        <v>79.382999999999996</v>
      </c>
      <c r="I87" s="591">
        <f>SUM('[7]Volume Data'!$BC$255:$BC$257)/1</f>
        <v>0.51</v>
      </c>
      <c r="J87" s="710">
        <f t="shared" si="40"/>
        <v>-5.1736392947532295E-14</v>
      </c>
    </row>
    <row r="88" spans="1:10" ht="13.5" customHeight="1" x14ac:dyDescent="0.2">
      <c r="A88" s="794" t="s">
        <v>272</v>
      </c>
      <c r="B88" s="585">
        <f>SUM(C88:I88)</f>
        <v>822.73099999999999</v>
      </c>
      <c r="C88" s="585">
        <f>SUM('[7]Volume Data'!$D$258:$D$260)/1</f>
        <v>416.86</v>
      </c>
      <c r="D88" s="585">
        <f>SUM('[7]Volume Data'!$AZ$258:$AZ$260)/1</f>
        <v>85.240000000000009</v>
      </c>
      <c r="E88" s="585">
        <f>SUM('[7]Volume Data'!$AJ$258:$AJ$260)/1</f>
        <v>28.830000000000002</v>
      </c>
      <c r="F88" s="585">
        <f>SUM('[7]Volume Data'!$AW$258:$AW$260)/1</f>
        <v>165.09</v>
      </c>
      <c r="G88" s="585">
        <f>(SUM('[7]Volume Data'!$AI$258:$AI$260)-SUM('[7]Volume Data'!$AJ$258:$AJ$260)-SUM('[7]Volume Data'!$AW$258:$AW$260)-SUM('[7]Volume Data'!$AZ$258:$AZ$260))/1</f>
        <v>28.943999999999988</v>
      </c>
      <c r="H88" s="585">
        <f>SUM('[7]Volume Data'!$P$258:$P$260)/1</f>
        <v>97.266999999999996</v>
      </c>
      <c r="I88" s="591">
        <f>SUM('[7]Volume Data'!$BC$258:$BC$260)/1</f>
        <v>0.5</v>
      </c>
      <c r="J88" s="710">
        <f t="shared" si="40"/>
        <v>0</v>
      </c>
    </row>
    <row r="89" spans="1:10" ht="15" customHeight="1" x14ac:dyDescent="0.2">
      <c r="A89" s="794" t="s">
        <v>273</v>
      </c>
      <c r="B89" s="585">
        <f t="shared" ref="B89:B92" si="41">SUM(C89:I89)</f>
        <v>647.65700000000004</v>
      </c>
      <c r="C89" s="585">
        <f>SUM('[7]Volume Data'!$D$261:$D$263)/1</f>
        <v>262.67</v>
      </c>
      <c r="D89" s="585">
        <f>SUM('[7]Volume Data'!$AZ$261:$AZ$263)/1</f>
        <v>77.989999999999995</v>
      </c>
      <c r="E89" s="585">
        <f>SUM('[7]Volume Data'!$AJ$261:$AJ$263)/1</f>
        <v>44.04</v>
      </c>
      <c r="F89" s="585">
        <f>SUM('[7]Volume Data'!$AW$261:$AW$263)/1</f>
        <v>171.84</v>
      </c>
      <c r="G89" s="585">
        <f>(SUM('[7]Volume Data'!$AI$261:$AI$263)-SUM('[7]Volume Data'!$AJ$261:$AJ$263)-SUM('[7]Volume Data'!$AW$261:$AW$263)-SUM('[7]Volume Data'!$AZ$261:$AZ$263))/1</f>
        <v>32.779999999999959</v>
      </c>
      <c r="H89" s="585">
        <f>SUM('[7]Volume Data'!$P$261:$P$263)/1</f>
        <v>57.876999999999995</v>
      </c>
      <c r="I89" s="591">
        <f>SUM('[7]Volume Data'!$BC$261:$BC$263)/1</f>
        <v>0.45999999999999996</v>
      </c>
      <c r="J89" s="710">
        <f t="shared" si="40"/>
        <v>3.6415315207705135E-14</v>
      </c>
    </row>
    <row r="90" spans="1:10" ht="15" customHeight="1" x14ac:dyDescent="0.2">
      <c r="A90" s="794" t="s">
        <v>274</v>
      </c>
      <c r="B90" s="585">
        <f t="shared" si="41"/>
        <v>859.81499999999994</v>
      </c>
      <c r="C90" s="585">
        <f>SUM('[7]Volume Data'!$D$264:$D$266)/1</f>
        <v>445.08</v>
      </c>
      <c r="D90" s="585">
        <f>SUM('[7]Volume Data'!$AZ$264:$AZ$266)/1</f>
        <v>117.24000000000001</v>
      </c>
      <c r="E90" s="585">
        <f>SUM('[7]Volume Data'!$AJ$264:$AJ$266)/1</f>
        <v>41.14</v>
      </c>
      <c r="F90" s="585">
        <f>SUM('[7]Volume Data'!$AW$264:$AW$266)/1</f>
        <v>180.1</v>
      </c>
      <c r="G90" s="585">
        <f>(SUM('[7]Volume Data'!$AI$264:$AI$266)-SUM('[7]Volume Data'!$AJ$264:$AJ$266)-SUM('[7]Volume Data'!$AW$264:$AW$266)-SUM('[7]Volume Data'!$AZ$264:$AZ$266))/1</f>
        <v>27.371000000000009</v>
      </c>
      <c r="H90" s="585">
        <f>SUM('[7]Volume Data'!$P$264:$P$266)/1</f>
        <v>48.154000000000003</v>
      </c>
      <c r="I90" s="591">
        <f>SUM('[7]Volume Data'!$BC$264:$BC$266)/1</f>
        <v>0.73</v>
      </c>
      <c r="J90" s="710">
        <f t="shared" si="40"/>
        <v>-4.5741188614556449E-14</v>
      </c>
    </row>
    <row r="91" spans="1:10" ht="15" customHeight="1" x14ac:dyDescent="0.2">
      <c r="A91" s="794" t="s">
        <v>275</v>
      </c>
      <c r="B91" s="585">
        <f t="shared" si="41"/>
        <v>772.32600000000014</v>
      </c>
      <c r="C91" s="585">
        <f>SUM('[7]Volume Data'!$D$267:$D$269)/1</f>
        <v>407.88</v>
      </c>
      <c r="D91" s="585">
        <f>SUM('[7]Volume Data'!$AZ$267:$AZ$269)/1</f>
        <v>96.990000000000009</v>
      </c>
      <c r="E91" s="585">
        <f>SUM('[7]Volume Data'!$AJ$267:$AJ$269)/1</f>
        <v>26.94</v>
      </c>
      <c r="F91" s="585">
        <f>SUM('[7]Volume Data'!$AW$267:$AW$269)/1</f>
        <v>116.77999999999999</v>
      </c>
      <c r="G91" s="585">
        <f>(SUM('[7]Volume Data'!$AI$267:$AI$269)-SUM('[7]Volume Data'!$AJ$267:$AJ$269)-SUM('[7]Volume Data'!$AW$267:$AW$269)-SUM('[7]Volume Data'!$AZ$267:$AZ$269))/1</f>
        <v>26.326000000000008</v>
      </c>
      <c r="H91" s="585">
        <f>SUM('[7]Volume Data'!$P$267:$P$269)/1</f>
        <v>96.839999999999989</v>
      </c>
      <c r="I91" s="591">
        <f>SUM('[7]Volume Data'!$BC$267:$BC$269)/1</f>
        <v>0.57000000000000006</v>
      </c>
      <c r="J91" s="710">
        <f t="shared" si="40"/>
        <v>1.4943601911454607E-13</v>
      </c>
    </row>
    <row r="92" spans="1:10" ht="15" customHeight="1" x14ac:dyDescent="0.2">
      <c r="A92" s="794" t="s">
        <v>276</v>
      </c>
      <c r="B92" s="585">
        <f t="shared" si="41"/>
        <v>628.77</v>
      </c>
      <c r="C92" s="585">
        <f>SUM('[7]Volume Data'!$D$270:$D$272)/1</f>
        <v>226.23999999999998</v>
      </c>
      <c r="D92" s="585">
        <f>SUM('[7]Volume Data'!$AZ$270:$AZ$272)/1</f>
        <v>38.56</v>
      </c>
      <c r="E92" s="585">
        <f>SUM('[7]Volume Data'!$AJ$270:$AJ$272)/1</f>
        <v>24.830000000000002</v>
      </c>
      <c r="F92" s="585">
        <f>SUM('[7]Volume Data'!$AW$270:$AW$272)/1</f>
        <v>136.51</v>
      </c>
      <c r="G92" s="585">
        <f>(SUM('[7]Volume Data'!$AI$270:$AI$272)-SUM('[7]Volume Data'!$AJ$270:$AJ$272)-SUM('[7]Volume Data'!$AW$270:$AW$272)-SUM('[7]Volume Data'!$AZ$270:$AZ$272))/1</f>
        <v>27.401999999999958</v>
      </c>
      <c r="H92" s="585">
        <f>SUM('[7]Volume Data'!$P$270:$P$272)/1</f>
        <v>174.39800000000002</v>
      </c>
      <c r="I92" s="591">
        <f>SUM('[7]Volume Data'!$BC$270:$BC$272)/1</f>
        <v>0.83000000000000007</v>
      </c>
      <c r="J92" s="710">
        <f t="shared" si="40"/>
        <v>1.2434497875801753E-14</v>
      </c>
    </row>
    <row r="93" spans="1:10" ht="15" customHeight="1" x14ac:dyDescent="0.2">
      <c r="A93" s="794" t="s">
        <v>277</v>
      </c>
      <c r="B93" s="585">
        <f t="shared" ref="B93:B95" si="42">SUM(C93:I93)</f>
        <v>558.50900000000001</v>
      </c>
      <c r="C93" s="585">
        <f>SUM('[7]Volume Data'!$D$273:$D$275)/1</f>
        <v>277.04999999999995</v>
      </c>
      <c r="D93" s="585">
        <f>SUM('[7]Volume Data'!$AZ$273:$AZ$275)/1</f>
        <v>72.13</v>
      </c>
      <c r="E93" s="585">
        <f>SUM('[7]Volume Data'!$AJ$273:$AJ$275)/1</f>
        <v>35.42</v>
      </c>
      <c r="F93" s="585">
        <f>SUM('[7]Volume Data'!$AW$273:$AW$275)/1</f>
        <v>94.34</v>
      </c>
      <c r="G93" s="585">
        <f>(SUM('[7]Volume Data'!$AI$273:$AI$275)-SUM('[7]Volume Data'!$AJ$273:$AJ$275)-SUM('[7]Volume Data'!$AW$273:$AW$275)-SUM('[7]Volume Data'!$AZ$273:$AZ$275))/1</f>
        <v>26.090000000000003</v>
      </c>
      <c r="H93" s="585">
        <f>SUM('[7]Volume Data'!$P$273:$P$275)/1</f>
        <v>52.399000000000001</v>
      </c>
      <c r="I93" s="591">
        <f>SUM('[7]Volume Data'!$BC$273:$BC$275)/1</f>
        <v>1.08</v>
      </c>
      <c r="J93" s="710">
        <f t="shared" si="40"/>
        <v>4.0856207306205761E-14</v>
      </c>
    </row>
    <row r="94" spans="1:10" ht="15" customHeight="1" x14ac:dyDescent="0.2">
      <c r="A94" s="794" t="s">
        <v>278</v>
      </c>
      <c r="B94" s="585">
        <f t="shared" si="42"/>
        <v>575.90700000000004</v>
      </c>
      <c r="C94" s="585">
        <f>SUM('[7]Volume Data'!$D$276:$D$278)/1</f>
        <v>281.60599999999999</v>
      </c>
      <c r="D94" s="585">
        <f>SUM('[7]Volume Data'!$AZ$276:$AZ$278)/1</f>
        <v>51.17</v>
      </c>
      <c r="E94" s="585">
        <f>SUM('[7]Volume Data'!$AJ$276:$AJ$278)/1</f>
        <v>16.23</v>
      </c>
      <c r="F94" s="585">
        <f>SUM('[7]Volume Data'!$AW$276:$AW$278)/1</f>
        <v>143.30000000000001</v>
      </c>
      <c r="G94" s="585">
        <f>(SUM('[7]Volume Data'!$AI$276:$AI$278)-SUM('[7]Volume Data'!$AJ$276:$AJ$278)-SUM('[7]Volume Data'!$AW$276:$AW$278)-SUM('[7]Volume Data'!$AZ$276:$AZ$278))/1</f>
        <v>23.410000000000011</v>
      </c>
      <c r="H94" s="585">
        <f>SUM('[7]Volume Data'!$P$276:$P$278)/1</f>
        <v>59.440999999999995</v>
      </c>
      <c r="I94" s="591">
        <f>SUM('[7]Volume Data'!$BC$276:$BC$278)/1</f>
        <v>0.75</v>
      </c>
      <c r="J94" s="710">
        <f t="shared" si="40"/>
        <v>2.1316282072803006E-14</v>
      </c>
    </row>
    <row r="95" spans="1:10" ht="15" customHeight="1" x14ac:dyDescent="0.2">
      <c r="A95" s="794" t="s">
        <v>279</v>
      </c>
      <c r="B95" s="585">
        <f t="shared" si="42"/>
        <v>744.8180000000001</v>
      </c>
      <c r="C95" s="585">
        <f>SUM('[7]Volume Data'!$D$279:$D$281)/1</f>
        <v>471.59</v>
      </c>
      <c r="D95" s="585">
        <f>SUM('[7]Volume Data'!$AZ$279:$AZ$281)/1</f>
        <v>37.5</v>
      </c>
      <c r="E95" s="585">
        <f>SUM('[7]Volume Data'!$AJ$279:$AJ$281)/1</f>
        <v>26.98</v>
      </c>
      <c r="F95" s="585">
        <f>SUM('[7]Volume Data'!$AW$279:$AW$281)/1</f>
        <v>82.460000000000008</v>
      </c>
      <c r="G95" s="585">
        <f>(SUM('[7]Volume Data'!$AI$279:$AI$281)-SUM('[7]Volume Data'!$AJ$279:$AJ$281)-SUM('[7]Volume Data'!$AW$279:$AW$281)-SUM('[7]Volume Data'!$AZ$279:$AZ$281))/1</f>
        <v>12.199999999999989</v>
      </c>
      <c r="H95" s="585">
        <f>SUM('[7]Volume Data'!$P$279:$P$281)/1</f>
        <v>113.24799999999999</v>
      </c>
      <c r="I95" s="591">
        <f>SUM('[7]Volume Data'!$BC$279:$BC$281)/1</f>
        <v>0.84</v>
      </c>
      <c r="J95" s="710">
        <f t="shared" si="40"/>
        <v>1.4555023852835802E-13</v>
      </c>
    </row>
    <row r="96" spans="1:10" ht="15" customHeight="1" x14ac:dyDescent="0.2">
      <c r="A96" s="794" t="s">
        <v>280</v>
      </c>
      <c r="B96" s="585">
        <f>SUM(C96:I96)</f>
        <v>871.26900000000001</v>
      </c>
      <c r="C96" s="585">
        <f>SUM('[7]Volume Data'!$D$282:$D$284)/1</f>
        <v>412.46000000000004</v>
      </c>
      <c r="D96" s="585">
        <f>SUM('[7]Volume Data'!$AZ$282:$AZ$284)/1</f>
        <v>40.75</v>
      </c>
      <c r="E96" s="585">
        <f>SUM('[7]Volume Data'!$AJ$282:$AJ$284)/1</f>
        <v>27.699999999999996</v>
      </c>
      <c r="F96" s="585">
        <f>SUM('[7]Volume Data'!$AW$282:$AW$284)/1</f>
        <v>208.47</v>
      </c>
      <c r="G96" s="585">
        <f>(SUM('[7]Volume Data'!$AI$282:$AI$284)-SUM('[7]Volume Data'!$AJ$282:$AJ$284)-SUM('[7]Volume Data'!$AW$282:$AW$284)-SUM('[7]Volume Data'!$AZ$282:$AZ$284))/1</f>
        <v>57.269999999999953</v>
      </c>
      <c r="H96" s="585">
        <f>SUM('[7]Volume Data'!$P$282:$P$284)/1</f>
        <v>123.54900000000001</v>
      </c>
      <c r="I96" s="591">
        <f>SUM('[7]Volume Data'!$BC$282:$BC$284)/1</f>
        <v>1.0699999999999998</v>
      </c>
      <c r="J96" s="710">
        <f t="shared" si="40"/>
        <v>2.1760371282653068E-14</v>
      </c>
    </row>
    <row r="97" spans="1:11" ht="15" customHeight="1" x14ac:dyDescent="0.2">
      <c r="A97" s="794" t="s">
        <v>281</v>
      </c>
      <c r="B97" s="585">
        <f t="shared" ref="B97:B98" si="43">SUM(C97:I97)</f>
        <v>610.15100000000007</v>
      </c>
      <c r="C97" s="585">
        <f>SUM('[7]Volume Data'!$D$285:$D$287)/1</f>
        <v>147.32</v>
      </c>
      <c r="D97" s="585">
        <f>SUM('[7]Volume Data'!$AZ$285:$AZ$287)/1</f>
        <v>62.540000000000006</v>
      </c>
      <c r="E97" s="585">
        <f>SUM('[7]Volume Data'!$AJ$285:$AJ$287)/1</f>
        <v>58.13000000000001</v>
      </c>
      <c r="F97" s="585">
        <f>SUM('[7]Volume Data'!$AW$285:$AW$287)/1</f>
        <v>262.12</v>
      </c>
      <c r="G97" s="585">
        <f>(SUM('[7]Volume Data'!$AI$285:$AI$287)-SUM('[7]Volume Data'!$AJ$285:$AJ$287)-SUM('[7]Volume Data'!$AW$285:$AW$287)-SUM('[7]Volume Data'!$AZ$285:$AZ$287))/1</f>
        <v>26.879999999999953</v>
      </c>
      <c r="H97" s="585">
        <f>SUM('[7]Volume Data'!$P$285:$P$287)/1</f>
        <v>52.720999999999997</v>
      </c>
      <c r="I97" s="591">
        <f>SUM('[7]Volume Data'!$BC$285:$BC$287)/1</f>
        <v>0.44</v>
      </c>
      <c r="J97" s="710">
        <f t="shared" si="40"/>
        <v>1.0430545316353346E-13</v>
      </c>
    </row>
    <row r="98" spans="1:11" s="671" customFormat="1" ht="15" customHeight="1" x14ac:dyDescent="0.2">
      <c r="A98" s="794" t="s">
        <v>207</v>
      </c>
      <c r="B98" s="585">
        <f t="shared" si="43"/>
        <v>852.59799999999996</v>
      </c>
      <c r="C98" s="585">
        <f>SUM('[7]Volume Data'!$D$288:$D$290)/1</f>
        <v>388.61</v>
      </c>
      <c r="D98" s="585">
        <f>SUM('[7]Volume Data'!$AZ$288:$AZ$290)/1</f>
        <v>56.47</v>
      </c>
      <c r="E98" s="585">
        <f>SUM('[7]Volume Data'!$AJ$288:$AJ$290)/1</f>
        <v>50.78</v>
      </c>
      <c r="F98" s="585">
        <f>SUM('[7]Volume Data'!$AW$288:$AW$290)/1</f>
        <v>239.88000000000002</v>
      </c>
      <c r="G98" s="585">
        <f>(SUM('[7]Volume Data'!$AI$288:$AI$290)-SUM('[7]Volume Data'!$AJ$288:$AJ$290)-SUM('[7]Volume Data'!$AW$288:$AW$290)-SUM('[7]Volume Data'!$AZ$288:$AZ$290))/1</f>
        <v>36.919999999999959</v>
      </c>
      <c r="H98" s="585">
        <f>SUM('[7]Volume Data'!$P$288:$P$290)/1</f>
        <v>78.788000000000011</v>
      </c>
      <c r="I98" s="591">
        <f>SUM('[7]Volume Data'!$BC$288:$BC$290)/1</f>
        <v>1.1499999999999999</v>
      </c>
      <c r="J98" s="710">
        <f t="shared" si="40"/>
        <v>-5.1070259132757201E-14</v>
      </c>
    </row>
    <row r="99" spans="1:11" s="671" customFormat="1" ht="15" customHeight="1" x14ac:dyDescent="0.2">
      <c r="A99" s="794" t="s">
        <v>197</v>
      </c>
      <c r="B99" s="585">
        <f>SUM(C99:I99)</f>
        <v>1187.7429999999999</v>
      </c>
      <c r="C99" s="585">
        <f>SUM('[7]Volume Data'!$D$291:$D$293)/1</f>
        <v>550.61999999999989</v>
      </c>
      <c r="D99" s="585">
        <f>SUM('[7]Volume Data'!$AZ$291:$AZ$293)/1</f>
        <v>71.010000000000005</v>
      </c>
      <c r="E99" s="585">
        <f>SUM('[7]Volume Data'!$AJ$291:$AJ$293)/1</f>
        <v>55.03</v>
      </c>
      <c r="F99" s="585">
        <f>SUM('[7]Volume Data'!$AW$291:$AW$293)/1</f>
        <v>282.62</v>
      </c>
      <c r="G99" s="585">
        <f>(SUM('[7]Volume Data'!$AI$291:$AI$293)-SUM('[7]Volume Data'!$AJ$291:$AJ$293)-SUM('[7]Volume Data'!$AW$291:$AW$293)-SUM('[7]Volume Data'!$AZ$291:$AZ$293))/1</f>
        <v>48.050000000000054</v>
      </c>
      <c r="H99" s="585">
        <f>SUM('[7]Volume Data'!$P$291:$P$293)/1</f>
        <v>178.333</v>
      </c>
      <c r="I99" s="591">
        <f>SUM('[7]Volume Data'!$BC$291:$BC$293)/1</f>
        <v>2.08</v>
      </c>
      <c r="J99" s="710">
        <f t="shared" si="40"/>
        <v>1.2434497875801753E-14</v>
      </c>
    </row>
    <row r="100" spans="1:11" s="671" customFormat="1" ht="15" customHeight="1" x14ac:dyDescent="0.2">
      <c r="A100" s="794" t="s">
        <v>198</v>
      </c>
      <c r="B100" s="585">
        <f>SUM(C100:I100)</f>
        <v>1733.5240000000001</v>
      </c>
      <c r="C100" s="585">
        <f>SUM('[7]Volume Data'!$D$294:$D$296)/1</f>
        <v>531.58000000000004</v>
      </c>
      <c r="D100" s="585">
        <f>SUM('[7]Volume Data'!$AZ$294:$AZ$296)/1</f>
        <v>134.87</v>
      </c>
      <c r="E100" s="585">
        <f>SUM('[7]Volume Data'!$AJ$294:$AJ$296)/1</f>
        <v>66.28</v>
      </c>
      <c r="F100" s="585">
        <f>SUM('[7]Volume Data'!$AW$294:$AW$296)/1</f>
        <v>807.13</v>
      </c>
      <c r="G100" s="585">
        <f>(SUM('[7]Volume Data'!$AI$294:$AI$296)-SUM('[7]Volume Data'!$AJ$294:$AJ$296)-SUM('[7]Volume Data'!$AW$294:$AW$296)-SUM('[7]Volume Data'!$AZ$294:$AZ$296))/1</f>
        <v>72.620000000000118</v>
      </c>
      <c r="H100" s="585">
        <f>SUM('[7]Volume Data'!$P$294:$P$296)/1</f>
        <v>119.254</v>
      </c>
      <c r="I100" s="591">
        <f>SUM('[7]Volume Data'!$BC$294:$BC$296)/1</f>
        <v>1.79</v>
      </c>
      <c r="J100" s="710">
        <f t="shared" si="40"/>
        <v>-2.2204460492503131E-14</v>
      </c>
    </row>
    <row r="101" spans="1:11" s="671" customFormat="1" ht="15" customHeight="1" x14ac:dyDescent="0.2">
      <c r="A101" s="794" t="s">
        <v>208</v>
      </c>
      <c r="B101" s="585">
        <f t="shared" ref="B101:B104" si="44">SUM(C101:I101)</f>
        <v>683.0680000000001</v>
      </c>
      <c r="C101" s="585">
        <f>SUM('[7]Volume Data'!$D$297:$D$299)/1</f>
        <v>324.48</v>
      </c>
      <c r="D101" s="585">
        <f>SUM('[7]Volume Data'!$AZ$297:$AZ$299)/1</f>
        <v>54.52</v>
      </c>
      <c r="E101" s="585">
        <f>SUM('[7]Volume Data'!$AJ$297:$AJ$299)/1</f>
        <v>53.79</v>
      </c>
      <c r="F101" s="585">
        <f>SUM('[7]Volume Data'!$AW$297:$AW$299)/1</f>
        <v>162.14000000000001</v>
      </c>
      <c r="G101" s="585">
        <f>(SUM('[7]Volume Data'!$AI$297:$AI$299)-SUM('[7]Volume Data'!$AJ$297:$AJ$299)-SUM('[7]Volume Data'!$AW$297:$AW$299)-SUM('[7]Volume Data'!$AZ$297:$AZ$299))/1</f>
        <v>28.29</v>
      </c>
      <c r="H101" s="585">
        <f>SUM('[7]Volume Data'!$P$297:$P$299)/1</f>
        <v>59.14800000000001</v>
      </c>
      <c r="I101" s="591">
        <f>SUM('[7]Volume Data'!$BC$297:$BC$299)/1</f>
        <v>0.7</v>
      </c>
      <c r="J101" s="710">
        <f t="shared" si="40"/>
        <v>8.1046280797636427E-14</v>
      </c>
    </row>
    <row r="102" spans="1:11" s="671" customFormat="1" ht="15" customHeight="1" x14ac:dyDescent="0.2">
      <c r="A102" s="794" t="s">
        <v>209</v>
      </c>
      <c r="B102" s="585">
        <f t="shared" si="44"/>
        <v>721.64300000000003</v>
      </c>
      <c r="C102" s="585">
        <f>SUM('[7]Volume Data'!$D$300:$D$302)/1</f>
        <v>446.84000000000003</v>
      </c>
      <c r="D102" s="585">
        <f>SUM('[7]Volume Data'!$AZ$300:$AZ$302)/1</f>
        <v>54.66</v>
      </c>
      <c r="E102" s="585">
        <f>SUM('[7]Volume Data'!$AJ$300:$AJ$302)/1</f>
        <v>9.36</v>
      </c>
      <c r="F102" s="585">
        <f>SUM('[7]Volume Data'!$AW$300:$AW$302)/1</f>
        <v>150.83000000000001</v>
      </c>
      <c r="G102" s="585">
        <f>(SUM('[7]Volume Data'!$AI$300:$AI$302)-SUM('[7]Volume Data'!$AJ$300:$AJ$302)-SUM('[7]Volume Data'!$AW$300:$AW$302)-SUM('[7]Volume Data'!$AZ$300:$AZ$302))/1</f>
        <v>6.1399999999999864</v>
      </c>
      <c r="H102" s="585">
        <f>SUM('[7]Volume Data'!$P$300:$P$302)/1</f>
        <v>53.052999999999997</v>
      </c>
      <c r="I102" s="591">
        <f>SUM('[7]Volume Data'!$BC$300:$BC$302)/1</f>
        <v>0.76</v>
      </c>
      <c r="J102" s="710">
        <f t="shared" si="40"/>
        <v>1.9317880628477724E-14</v>
      </c>
    </row>
    <row r="103" spans="1:11" s="671" customFormat="1" ht="15" customHeight="1" x14ac:dyDescent="0.2">
      <c r="A103" s="794" t="s">
        <v>210</v>
      </c>
      <c r="B103" s="585">
        <f t="shared" si="44"/>
        <v>688.74500000000012</v>
      </c>
      <c r="C103" s="585">
        <f>SUM('[7]Volume Data'!$D$303:$D$305)/1</f>
        <v>413.07</v>
      </c>
      <c r="D103" s="585">
        <f>SUM('[7]Volume Data'!$AZ$303:$AZ$305)/1</f>
        <v>46.17</v>
      </c>
      <c r="E103" s="585">
        <f>SUM('[7]Volume Data'!$AJ$303:$AJ$305)/1</f>
        <v>17.040000000000003</v>
      </c>
      <c r="F103" s="585">
        <f>SUM('[7]Volume Data'!$AW$303:$AW$305)/1</f>
        <v>112.19</v>
      </c>
      <c r="G103" s="585">
        <f>(SUM('[7]Volume Data'!$AI$303:$AI$305)-SUM('[7]Volume Data'!$AJ$303:$AJ$305)-SUM('[7]Volume Data'!$AW$303:$AW$305)-SUM('[7]Volume Data'!$AZ$303:$AZ$305))/1</f>
        <v>2.9400000000000404</v>
      </c>
      <c r="H103" s="585">
        <f>SUM('[7]Volume Data'!$P$303:$P$305)/1</f>
        <v>96.685000000000016</v>
      </c>
      <c r="I103" s="591">
        <f>SUM('[7]Volume Data'!$BC$303:$BC$305)/1</f>
        <v>0.64999999999999991</v>
      </c>
      <c r="J103" s="710">
        <f t="shared" si="40"/>
        <v>6.2616578588858829E-14</v>
      </c>
    </row>
    <row r="104" spans="1:11" s="671" customFormat="1" ht="15" customHeight="1" x14ac:dyDescent="0.2">
      <c r="A104" s="794" t="s">
        <v>211</v>
      </c>
      <c r="B104" s="585">
        <f t="shared" si="44"/>
        <v>912.08500000000004</v>
      </c>
      <c r="C104" s="585">
        <f>SUM('[7]Volume Data'!$D$306:$D$308)/1</f>
        <v>315.52999999999997</v>
      </c>
      <c r="D104" s="585">
        <f>SUM('[7]Volume Data'!$AZ$306:$AZ$308)/1</f>
        <v>20.41</v>
      </c>
      <c r="E104" s="585">
        <f>SUM('[7]Volume Data'!$AJ$306:$AJ$308)/1</f>
        <v>30.95</v>
      </c>
      <c r="F104" s="585">
        <f>SUM('[7]Volume Data'!$AW$306:$AW$308)/1</f>
        <v>395.34000000000003</v>
      </c>
      <c r="G104" s="585">
        <f>(SUM('[7]Volume Data'!$AI$306:$AI$308)-SUM('[7]Volume Data'!$AJ$306:$AJ$308)-SUM('[7]Volume Data'!$AW$306:$AW$308)-SUM('[7]Volume Data'!$AZ$306:$AZ$308))/1</f>
        <v>31.216000000000033</v>
      </c>
      <c r="H104" s="585">
        <f>SUM('[7]Volume Data'!$P$306:$P$308)/1</f>
        <v>117.919</v>
      </c>
      <c r="I104" s="591">
        <f>SUM('[7]Volume Data'!$BC$306:$BC$308)/1</f>
        <v>0.72</v>
      </c>
      <c r="J104" s="710">
        <f t="shared" si="40"/>
        <v>-1.532107773982716E-14</v>
      </c>
    </row>
    <row r="105" spans="1:11" s="671" customFormat="1" ht="15" customHeight="1" x14ac:dyDescent="0.2">
      <c r="A105" s="794" t="s">
        <v>199</v>
      </c>
      <c r="B105" s="585">
        <f t="shared" ref="B105:B120" si="45">SUM(C105:I105)</f>
        <v>695.79499999999996</v>
      </c>
      <c r="C105" s="585">
        <f>SUM('[7]Volume Data'!$D$309:$D$311)/1</f>
        <v>283.52999999999997</v>
      </c>
      <c r="D105" s="585">
        <f>SUM('[7]Volume Data'!$AZ$309:$AZ$311)/1</f>
        <v>37.72</v>
      </c>
      <c r="E105" s="585">
        <f>SUM('[7]Volume Data'!$AJ$309:$AJ$311)/1</f>
        <v>86.62</v>
      </c>
      <c r="F105" s="585">
        <f>SUM('[7]Volume Data'!$AW$309:$AW$311)/1</f>
        <v>196.86</v>
      </c>
      <c r="G105" s="585">
        <f>(SUM('[7]Volume Data'!$AI$309:$AI$311)-SUM('[7]Volume Data'!$AJ$309:$AJ$311)-SUM('[7]Volume Data'!$AW$309:$AW$311)-SUM('[7]Volume Data'!$AZ$309:$AZ$311))/1</f>
        <v>18.870000000000033</v>
      </c>
      <c r="H105" s="585">
        <f>SUM('[7]Volume Data'!$P$309:$P$311)/1</f>
        <v>71.405000000000001</v>
      </c>
      <c r="I105" s="591">
        <f>SUM('[7]Volume Data'!$BC$309:$BC$311)/1</f>
        <v>0.79</v>
      </c>
      <c r="J105" s="710">
        <f t="shared" si="40"/>
        <v>-9.3258734068513149E-14</v>
      </c>
    </row>
    <row r="106" spans="1:11" s="671" customFormat="1" ht="15" customHeight="1" x14ac:dyDescent="0.2">
      <c r="A106" s="794" t="s">
        <v>200</v>
      </c>
      <c r="B106" s="585">
        <f t="shared" si="45"/>
        <v>966.81399999999996</v>
      </c>
      <c r="C106" s="585">
        <f>SUM('[7]Volume Data'!$D$312:$D$314)/1</f>
        <v>377.13999999999993</v>
      </c>
      <c r="D106" s="585">
        <f>SUM('[7]Volume Data'!$AZ$312:$AZ$314)/1</f>
        <v>46.239999999999995</v>
      </c>
      <c r="E106" s="585">
        <f>SUM('[7]Volume Data'!$AJ$312:$AJ$314)/1</f>
        <v>56.83</v>
      </c>
      <c r="F106" s="585">
        <f>SUM('[7]Volume Data'!$AW$312:$AW$314)/1</f>
        <v>405.73</v>
      </c>
      <c r="G106" s="585">
        <f>(SUM('[7]Volume Data'!$AI$312:$AI$314)-SUM('[7]Volume Data'!$AJ$312:$AJ$314)-SUM('[7]Volume Data'!$AW$312:$AW$314)-SUM('[7]Volume Data'!$AZ$312:$AZ$314))/1</f>
        <v>17.729999999999976</v>
      </c>
      <c r="H106" s="585">
        <f>SUM('[7]Volume Data'!$P$312:$P$314)/1</f>
        <v>62.433999999999997</v>
      </c>
      <c r="I106" s="591">
        <f>SUM('[7]Volume Data'!$BC$312:$BC$314)/1</f>
        <v>0.71</v>
      </c>
      <c r="J106" s="710">
        <f t="shared" si="40"/>
        <v>-6.2172489379008766E-15</v>
      </c>
    </row>
    <row r="107" spans="1:11" s="671" customFormat="1" ht="15" customHeight="1" x14ac:dyDescent="0.2">
      <c r="A107" s="794" t="s">
        <v>201</v>
      </c>
      <c r="B107" s="585">
        <f t="shared" si="45"/>
        <v>757.67399999999998</v>
      </c>
      <c r="C107" s="585">
        <f>SUM('[7]Volume Data'!$D$315:$D$317)/1</f>
        <v>459.00000000000006</v>
      </c>
      <c r="D107" s="585">
        <f>SUM('[7]Volume Data'!$AZ$315:$AZ$317)/1</f>
        <v>52.02</v>
      </c>
      <c r="E107" s="585">
        <f>SUM('[7]Volume Data'!$AJ$315:$AJ$317)/1</f>
        <v>16.189999999999998</v>
      </c>
      <c r="F107" s="585">
        <f>SUM('[7]Volume Data'!$AW$315:$AW$317)/1</f>
        <v>154.27000000000001</v>
      </c>
      <c r="G107" s="585">
        <f>(SUM('[7]Volume Data'!$AI$315:$AI$317)-SUM('[7]Volume Data'!$AJ$315:$AJ$317)-SUM('[7]Volume Data'!$AW$315:$AW$317)-SUM('[7]Volume Data'!$AZ$315:$AZ$317))/1</f>
        <v>6.9099999999999753</v>
      </c>
      <c r="H107" s="585">
        <f>SUM('[7]Volume Data'!$P$315:$P$317)/1</f>
        <v>68.494</v>
      </c>
      <c r="I107" s="591">
        <f>SUM('[7]Volume Data'!$BC$315:$BC$317)/1</f>
        <v>0.79</v>
      </c>
      <c r="J107" s="710">
        <f t="shared" si="40"/>
        <v>-6.4837024638109142E-14</v>
      </c>
    </row>
    <row r="108" spans="1:11" s="671" customFormat="1" ht="15" customHeight="1" x14ac:dyDescent="0.2">
      <c r="A108" s="794" t="s">
        <v>202</v>
      </c>
      <c r="B108" s="585">
        <f t="shared" si="45"/>
        <v>862.53</v>
      </c>
      <c r="C108" s="585">
        <f>SUM('[7]Volume Data'!$D$318:$D$320)/1</f>
        <v>288.62</v>
      </c>
      <c r="D108" s="585">
        <f>SUM('[7]Volume Data'!$AZ$318:$AZ$320)/1</f>
        <v>22.64</v>
      </c>
      <c r="E108" s="585">
        <f>SUM('[7]Volume Data'!$AJ$318:$AJ$320)/1</f>
        <v>27.739999999999995</v>
      </c>
      <c r="F108" s="585">
        <f>SUM('[7]Volume Data'!$AW$318:$AW$320)/1</f>
        <v>391.93</v>
      </c>
      <c r="G108" s="585">
        <f>(SUM('[7]Volume Data'!$AI$318:$AI$320)-SUM('[7]Volume Data'!$AJ$318:$AJ$320)-SUM('[7]Volume Data'!$AW$318:$AW$320)-SUM('[7]Volume Data'!$AZ$318:$AZ$320))/1</f>
        <v>30.726000000000042</v>
      </c>
      <c r="H108" s="585">
        <f>SUM('[7]Volume Data'!$P$318:$P$320)/1</f>
        <v>100.19399999999999</v>
      </c>
      <c r="I108" s="591">
        <f>SUM('[7]Volume Data'!$BC$318:$BC$320)/1</f>
        <v>0.68</v>
      </c>
      <c r="J108" s="710">
        <f t="shared" si="40"/>
        <v>-6.4281913125796564E-14</v>
      </c>
    </row>
    <row r="109" spans="1:11" s="671" customFormat="1" ht="15" customHeight="1" x14ac:dyDescent="0.2">
      <c r="A109" s="794" t="s">
        <v>203</v>
      </c>
      <c r="B109" s="585">
        <f t="shared" si="45"/>
        <v>951.73199999999986</v>
      </c>
      <c r="C109" s="585">
        <f>SUM('[7]Volume Data'!$D$321:$D$323)/1</f>
        <v>79.52</v>
      </c>
      <c r="D109" s="585">
        <f>SUM('[7]Volume Data'!$AZ$321:$AZ$323)/1</f>
        <v>127.36999999999999</v>
      </c>
      <c r="E109" s="585">
        <f>SUM('[7]Volume Data'!$AJ$321:$AJ$323)/1</f>
        <v>35.92</v>
      </c>
      <c r="F109" s="585">
        <f>SUM('[7]Volume Data'!$AW$321:$AW$323)/1</f>
        <v>541.42000000000007</v>
      </c>
      <c r="G109" s="585">
        <f>(SUM('[7]Volume Data'!$AI$321:$AI$323)-SUM('[7]Volume Data'!$AJ$321:$AJ$323)-SUM('[7]Volume Data'!$AW$321:$AW$323)-SUM('[7]Volume Data'!$AZ$321:$AZ$323))/1</f>
        <v>42.66999999999986</v>
      </c>
      <c r="H109" s="585">
        <f>SUM('[7]Volume Data'!$P$321:$P$323)/1</f>
        <v>123.922</v>
      </c>
      <c r="I109" s="591">
        <f>SUM('[7]Volume Data'!$BC$321:$BC$323)/1</f>
        <v>0.91</v>
      </c>
      <c r="J109" s="710">
        <f t="shared" si="40"/>
        <v>-1.7652546091539989E-14</v>
      </c>
    </row>
    <row r="110" spans="1:11" s="671" customFormat="1" ht="15" customHeight="1" x14ac:dyDescent="0.2">
      <c r="A110" s="794" t="s">
        <v>204</v>
      </c>
      <c r="B110" s="585">
        <f t="shared" si="45"/>
        <v>888.30399999999997</v>
      </c>
      <c r="C110" s="585">
        <f>SUM('[7]Volume Data'!$D$324:$D$326)/1</f>
        <v>535.79</v>
      </c>
      <c r="D110" s="585">
        <f>SUM('[7]Volume Data'!$AZ$324:$AZ$326)/1</f>
        <v>90.47</v>
      </c>
      <c r="E110" s="585">
        <f>SUM('[7]Volume Data'!$AJ$324:$AJ$326)/1</f>
        <v>4.59</v>
      </c>
      <c r="F110" s="585">
        <f>SUM('[7]Volume Data'!$AW$324:$AW$326)/1</f>
        <v>183.29</v>
      </c>
      <c r="G110" s="585">
        <f>(SUM('[7]Volume Data'!$AI$324:$AI$326)-SUM('[7]Volume Data'!$AJ$324:$AJ$326)-SUM('[7]Volume Data'!$AW$324:$AW$326)-SUM('[7]Volume Data'!$AZ$324:$AZ$326))/1</f>
        <v>5.8500000000000227</v>
      </c>
      <c r="H110" s="585">
        <f>SUM('[7]Volume Data'!$P$324:$P$326)/1</f>
        <v>67.213999999999999</v>
      </c>
      <c r="I110" s="591">
        <f>SUM('[7]Volume Data'!$BC$324:$BC$326)/1</f>
        <v>1.1000000000000001</v>
      </c>
      <c r="J110" s="710">
        <f t="shared" si="40"/>
        <v>-5.773159728050814E-15</v>
      </c>
    </row>
    <row r="111" spans="1:11" s="671" customFormat="1" ht="15" customHeight="1" x14ac:dyDescent="0.2">
      <c r="A111" s="794" t="s">
        <v>205</v>
      </c>
      <c r="B111" s="585">
        <f t="shared" si="45"/>
        <v>967.45699999999999</v>
      </c>
      <c r="C111" s="585">
        <f>SUM('[7]Volume Data'!$D$327:$D$329)/1</f>
        <v>266.03000000000003</v>
      </c>
      <c r="D111" s="585">
        <f>SUM('[7]Volume Data'!$AZ$327:$AZ$329)/1</f>
        <v>25.700000000000003</v>
      </c>
      <c r="E111" s="585">
        <f>SUM('[7]Volume Data'!$AJ$327:$AJ$329)/1</f>
        <v>19</v>
      </c>
      <c r="F111" s="585">
        <f>SUM('[7]Volume Data'!$AW$327:$AW$329)/1</f>
        <v>146.12</v>
      </c>
      <c r="G111" s="585">
        <f>(SUM('[7]Volume Data'!$AI$327:$AI$329)-SUM('[7]Volume Data'!$AJ$327:$AJ$329)-SUM('[7]Volume Data'!$AW$327:$AW$329)-SUM('[7]Volume Data'!$AZ$327:$AZ$329))/1</f>
        <v>17.519999999999968</v>
      </c>
      <c r="H111" s="585">
        <f>SUM('[7]Volume Data'!$P$327:$P$329)/1</f>
        <v>420.25699999999995</v>
      </c>
      <c r="I111" s="591">
        <f>SUM('[7]Volume Data'!$BC$327:$BC$329)/1</f>
        <v>72.83</v>
      </c>
      <c r="J111" s="710">
        <f t="shared" si="40"/>
        <v>0</v>
      </c>
    </row>
    <row r="112" spans="1:11" s="671" customFormat="1" ht="15" customHeight="1" x14ac:dyDescent="0.2">
      <c r="A112" s="794" t="s">
        <v>206</v>
      </c>
      <c r="B112" s="585">
        <f t="shared" si="45"/>
        <v>508.899</v>
      </c>
      <c r="C112" s="585">
        <f>SUM('[7]Volume Data'!$D$330:$D$332)/1</f>
        <v>150.88</v>
      </c>
      <c r="D112" s="585">
        <f>SUM('[7]Volume Data'!$AZ$330:$AZ$332)/1</f>
        <v>12.620000000000001</v>
      </c>
      <c r="E112" s="585">
        <f>SUM('[7]Volume Data'!$AJ$330:$AJ$332)/1</f>
        <v>14.559999999999999</v>
      </c>
      <c r="F112" s="585">
        <f>SUM('[7]Volume Data'!$AW$330:$AW$332)/1</f>
        <v>114.64</v>
      </c>
      <c r="G112" s="585">
        <f>(SUM('[7]Volume Data'!$AI$330:$AI$332)-SUM('[7]Volume Data'!$AJ$330:$AJ$332)-SUM('[7]Volume Data'!$AW$330:$AW$332)-SUM('[7]Volume Data'!$AZ$330:$AZ$332))/1</f>
        <v>21.890000000000004</v>
      </c>
      <c r="H112" s="585">
        <f>SUM('[7]Volume Data'!$P$330:$P$332)/1</f>
        <v>158.459</v>
      </c>
      <c r="I112" s="591">
        <f>SUM('[7]Volume Data'!$BC$330:$BC$332)/1</f>
        <v>35.85</v>
      </c>
      <c r="J112" s="710">
        <f t="shared" si="40"/>
        <v>0</v>
      </c>
      <c r="K112" s="681"/>
    </row>
    <row r="113" spans="1:13" s="671" customFormat="1" ht="15" customHeight="1" x14ac:dyDescent="0.2">
      <c r="A113" s="794" t="s">
        <v>212</v>
      </c>
      <c r="B113" s="585">
        <f t="shared" si="45"/>
        <v>760.36919999999998</v>
      </c>
      <c r="C113" s="585">
        <f>SUM('[7]Volume Data'!$D$333:$D$335)/1</f>
        <v>287.28999999999996</v>
      </c>
      <c r="D113" s="585">
        <f>SUM('[7]Volume Data'!$AZ$333:$AZ$335)/1</f>
        <v>22.419999999999998</v>
      </c>
      <c r="E113" s="585">
        <f>SUM('[7]Volume Data'!$AJ$333:$AJ$335)/1</f>
        <v>34.01</v>
      </c>
      <c r="F113" s="585">
        <f>SUM('[7]Volume Data'!$AW$333:$AW$335)/1</f>
        <v>139.85000000000002</v>
      </c>
      <c r="G113" s="585">
        <f>(SUM('[7]Volume Data'!$AI$333:$AI$335)-SUM('[7]Volume Data'!$AJ$333:$AJ$335)-SUM('[7]Volume Data'!$AW$333:$AW$335)-SUM('[7]Volume Data'!$AZ$333:$AZ$335))/1</f>
        <v>34.779999999999987</v>
      </c>
      <c r="H113" s="585">
        <f>SUM('[7]Volume Data'!$P$333:$P$335)/1</f>
        <v>200.50919999999999</v>
      </c>
      <c r="I113" s="591">
        <f>SUM('[7]Volume Data'!$BC$333:$BC$335)/1</f>
        <v>41.51</v>
      </c>
      <c r="J113" s="710">
        <f t="shared" si="40"/>
        <v>0</v>
      </c>
      <c r="K113" s="681"/>
      <c r="L113" s="681"/>
    </row>
    <row r="114" spans="1:13" s="671" customFormat="1" ht="15" customHeight="1" x14ac:dyDescent="0.2">
      <c r="A114" s="794" t="s">
        <v>213</v>
      </c>
      <c r="B114" s="585">
        <f t="shared" si="45"/>
        <v>2197.1437000000001</v>
      </c>
      <c r="C114" s="585">
        <f>SUM('[7]Volume Data'!$D$336:$D$338)/1</f>
        <v>750.56000000000006</v>
      </c>
      <c r="D114" s="585">
        <f>SUM('[7]Volume Data'!$AZ$336:$AZ$338)/1</f>
        <v>164.83</v>
      </c>
      <c r="E114" s="585">
        <f>SUM('[7]Volume Data'!$AJ$336:$AJ$338)/1</f>
        <v>73.38000000000001</v>
      </c>
      <c r="F114" s="585">
        <f>SUM('[7]Volume Data'!$AW$336:$AW$338)/1</f>
        <v>648.1</v>
      </c>
      <c r="G114" s="795">
        <f>(SUM('[7]Volume Data'!$AI$336:$AI$338)-SUM('[7]Volume Data'!$AJ$336:$AJ$338)-SUM('[7]Volume Data'!$AW$336:$AW$338)-SUM('[7]Volume Data'!$AZ$336:$AZ$338))/1</f>
        <v>148.72999999999993</v>
      </c>
      <c r="H114" s="585">
        <f>SUM('[7]Volume Data'!$P$336:$P$338)/1</f>
        <v>385.25369999999998</v>
      </c>
      <c r="I114" s="591">
        <f>SUM('[7]Volume Data'!$BC$336:$BC$338)/1</f>
        <v>26.29</v>
      </c>
      <c r="J114" s="710">
        <f t="shared" si="40"/>
        <v>1.9184653865522705E-13</v>
      </c>
      <c r="K114" s="681"/>
      <c r="L114" s="681"/>
    </row>
    <row r="115" spans="1:13" s="671" customFormat="1" ht="15" customHeight="1" x14ac:dyDescent="0.2">
      <c r="A115" s="794" t="s">
        <v>214</v>
      </c>
      <c r="B115" s="585">
        <f t="shared" si="45"/>
        <v>1482.145</v>
      </c>
      <c r="C115" s="585">
        <f>SUM('[7]Volume Data'!$D$339:$D$341)/1</f>
        <v>668.89</v>
      </c>
      <c r="D115" s="585">
        <f>SUM('[7]Volume Data'!$AZ$339:$AZ$341)/1</f>
        <v>35.339999999999996</v>
      </c>
      <c r="E115" s="585">
        <f>SUM('[7]Volume Data'!$AJ$339:$AJ$341)/1</f>
        <v>21.04</v>
      </c>
      <c r="F115" s="585">
        <f>SUM('[7]Volume Data'!$AW$339:$AW$341)/1</f>
        <v>364.63</v>
      </c>
      <c r="G115" s="795">
        <f>(SUM('[7]Volume Data'!$AI$339:$AI$341)-SUM('[7]Volume Data'!$AJ$339:$AJ$341)-SUM('[7]Volume Data'!$AW$339:$AW$341)-SUM('[7]Volume Data'!$AZ$339:$AZ$341))/1</f>
        <v>25.539999999999942</v>
      </c>
      <c r="H115" s="585">
        <f>SUM('[7]Volume Data'!$P$339:$P$341)/1</f>
        <v>355.42500000000001</v>
      </c>
      <c r="I115" s="591">
        <f>SUM('[7]Volume Data'!$BC$339:$BC$341)/1</f>
        <v>11.28</v>
      </c>
      <c r="J115" s="710">
        <f t="shared" si="40"/>
        <v>3.0198066269804258E-14</v>
      </c>
      <c r="K115" s="681"/>
      <c r="L115" s="681"/>
    </row>
    <row r="116" spans="1:13" s="671" customFormat="1" ht="15" customHeight="1" x14ac:dyDescent="0.2">
      <c r="A116" s="794" t="s">
        <v>215</v>
      </c>
      <c r="B116" s="585">
        <f t="shared" si="45"/>
        <v>1135.40149</v>
      </c>
      <c r="C116" s="585">
        <f>SUM('[7]Volume Data'!$D$342:$D$344)/1</f>
        <v>336.78</v>
      </c>
      <c r="D116" s="585">
        <f>SUM('[7]Volume Data'!$AZ$342:$AZ$344)/1</f>
        <v>43.41</v>
      </c>
      <c r="E116" s="585">
        <f>SUM('[7]Volume Data'!$AJ$342:$AJ$344)/1</f>
        <v>29.09</v>
      </c>
      <c r="F116" s="585">
        <f>SUM('[7]Volume Data'!$AW$342:$AW$344)/1</f>
        <v>496.24</v>
      </c>
      <c r="G116" s="795">
        <f>(SUM('[7]Volume Data'!$AI$342:$AI$344)-SUM('[7]Volume Data'!$AJ$342:$AJ$344)-SUM('[7]Volume Data'!$AW$342:$AW$344)-SUM('[7]Volume Data'!$AZ$342:$AZ$344))/1</f>
        <v>53.72999999999999</v>
      </c>
      <c r="H116" s="585">
        <f>SUM('[7]Volume Data'!$P$342:$P$344)/1</f>
        <v>151.19452999999996</v>
      </c>
      <c r="I116" s="591">
        <f>SUM('[7]Volume Data'!$BC$342:$BC$344)/1</f>
        <v>24.956959999999999</v>
      </c>
      <c r="J116" s="710">
        <f t="shared" si="40"/>
        <v>3.907985046680551E-14</v>
      </c>
      <c r="K116" s="681"/>
      <c r="L116" s="681"/>
    </row>
    <row r="117" spans="1:13" s="671" customFormat="1" ht="15" customHeight="1" x14ac:dyDescent="0.2">
      <c r="A117" s="794" t="s">
        <v>216</v>
      </c>
      <c r="B117" s="585">
        <f t="shared" si="45"/>
        <v>455.57800000000003</v>
      </c>
      <c r="C117" s="585">
        <f>SUM('[7]Volume Data'!$D$345:$D$347)</f>
        <v>205.32</v>
      </c>
      <c r="D117" s="585">
        <f>SUM('[7]Volume Data'!$AZ$345:$AZ$347)</f>
        <v>45.959999999999994</v>
      </c>
      <c r="E117" s="585">
        <f>SUM('[7]Volume Data'!$AJ$345:$AJ$347)</f>
        <v>37.1</v>
      </c>
      <c r="F117" s="585">
        <f>SUM('[7]Volume Data'!$AW$345:$AW$347)</f>
        <v>67.02</v>
      </c>
      <c r="G117" s="795">
        <f>(SUM('[7]Volume Data'!$AI$345:$AI$347)-SUM('[7]Volume Data'!$AJ$345:$AJ$347)-SUM('[7]Volume Data'!$AW$345:$AW$347)-SUM('[7]Volume Data'!$AZ$345:$AZ$347))</f>
        <v>11.910000000000025</v>
      </c>
      <c r="H117" s="585">
        <f>SUM('[7]Volume Data'!$P$345:$P$347)</f>
        <v>87.308000000000021</v>
      </c>
      <c r="I117" s="591">
        <f>SUM('[7]Volume Data'!$BC$345:$BC$347)</f>
        <v>0.96</v>
      </c>
      <c r="J117" s="710">
        <f t="shared" si="40"/>
        <v>2.2204460492503131E-14</v>
      </c>
      <c r="K117" s="681"/>
      <c r="L117" s="681"/>
    </row>
    <row r="118" spans="1:13" s="671" customFormat="1" ht="15" customHeight="1" x14ac:dyDescent="0.2">
      <c r="A118" s="794" t="s">
        <v>217</v>
      </c>
      <c r="B118" s="585">
        <f t="shared" si="45"/>
        <v>1265.6283000000001</v>
      </c>
      <c r="C118" s="585">
        <f>SUM('[7]Volume Data'!$D$348:$D$350)</f>
        <v>391.51</v>
      </c>
      <c r="D118" s="585">
        <f>SUM('[7]Volume Data'!$AZ$348:$AZ$350)</f>
        <v>60.139999999999993</v>
      </c>
      <c r="E118" s="585">
        <f>SUM('[7]Volume Data'!$AJ$348:$AJ$350)</f>
        <v>37.850000000000009</v>
      </c>
      <c r="F118" s="585">
        <f>SUM('[7]Volume Data'!$AW$348:$AW$350)</f>
        <v>290.85000000000002</v>
      </c>
      <c r="G118" s="795">
        <f>(SUM('[7]Volume Data'!$AI$348:$AI$350)-SUM('[7]Volume Data'!$AJ$348:$AJ$350)-SUM('[7]Volume Data'!$AW$348:$AW$350)-SUM('[7]Volume Data'!$AZ$348:$AZ$350))</f>
        <v>28.569999999999929</v>
      </c>
      <c r="H118" s="585">
        <f>SUM('[7]Volume Data'!$P$348:$P$350)</f>
        <v>408.02829999999994</v>
      </c>
      <c r="I118" s="591">
        <f>SUM('[7]Volume Data'!$BC$348:$BC$350)</f>
        <v>48.68</v>
      </c>
      <c r="J118" s="710">
        <f t="shared" si="40"/>
        <v>1.7763568394002505E-13</v>
      </c>
      <c r="K118" s="681"/>
      <c r="L118" s="681"/>
    </row>
    <row r="119" spans="1:13" s="671" customFormat="1" ht="15" customHeight="1" x14ac:dyDescent="0.2">
      <c r="A119" s="794" t="s">
        <v>218</v>
      </c>
      <c r="B119" s="585">
        <f t="shared" si="45"/>
        <v>2306.2017000000001</v>
      </c>
      <c r="C119" s="585">
        <f>SUM('[7]Volume Data'!$D$351:$D$353)/1</f>
        <v>1015.6899999999999</v>
      </c>
      <c r="D119" s="585">
        <f>SUM('[7]Volume Data'!$AZ$351:$AZ$353)/1</f>
        <v>98.610000000000014</v>
      </c>
      <c r="E119" s="585">
        <f>SUM('[7]Volume Data'!$AJ$351:$AJ$353)/1</f>
        <v>451.32</v>
      </c>
      <c r="F119" s="585">
        <f>SUM('[7]Volume Data'!$AW$351:$AW$353)/1</f>
        <v>182.14</v>
      </c>
      <c r="G119" s="795">
        <f>(SUM('[7]Volume Data'!$AI$351:$AI$353)-SUM('[7]Volume Data'!$AJ$351:$AJ$353)-SUM('[7]Volume Data'!$AW$351:$AW$353)-SUM('[7]Volume Data'!$AZ$351:$AZ$353))/1</f>
        <v>199.59000000000009</v>
      </c>
      <c r="H119" s="585">
        <f>SUM('[7]Volume Data'!$P$351:$P$353)/1</f>
        <v>354.74170000000004</v>
      </c>
      <c r="I119" s="591">
        <f>SUM('[7]Volume Data'!$BC$351:$BC$353)/1</f>
        <v>4.1100000000000003</v>
      </c>
      <c r="J119" s="710">
        <f>B119-C119-D119-E119-F119-G119-H119-I119</f>
        <v>-1.5720758028692217E-13</v>
      </c>
      <c r="K119" s="681"/>
      <c r="L119" s="681"/>
    </row>
    <row r="120" spans="1:13" s="671" customFormat="1" ht="15" customHeight="1" x14ac:dyDescent="0.2">
      <c r="A120" s="794" t="s">
        <v>219</v>
      </c>
      <c r="B120" s="585">
        <f t="shared" si="45"/>
        <v>776.33979999999997</v>
      </c>
      <c r="C120" s="585">
        <f>SUM('[7]Volume Data'!$D$354:$D$356)</f>
        <v>243.47899999999998</v>
      </c>
      <c r="D120" s="585">
        <f>SUM('[7]Volume Data'!$AZ$354:$AZ$356)</f>
        <v>40.26</v>
      </c>
      <c r="E120" s="585">
        <f>SUM('[7]Volume Data'!$AJ$354:$AJ$356)</f>
        <v>44.52</v>
      </c>
      <c r="F120" s="585">
        <f>SUM('[7]Volume Data'!$AW$354:$AW$356)</f>
        <v>121.92999999999999</v>
      </c>
      <c r="G120" s="795">
        <f>(SUM('[7]Volume Data'!$AI$354:$AI$356)-SUM('[7]Volume Data'!$AJ$354:$AJ$356)-SUM('[7]Volume Data'!$AW$354:$AW$356)-SUM('[7]Volume Data'!$AZ$354:$AZ$356))</f>
        <v>60.885000000000026</v>
      </c>
      <c r="H120" s="585">
        <f>SUM('[7]Volume Data'!$P$354:$P$356)</f>
        <v>256.83580000000001</v>
      </c>
      <c r="I120" s="591">
        <f>SUM('[7]Volume Data'!$BC$354:$BC$356)</f>
        <v>8.43</v>
      </c>
      <c r="J120" s="710">
        <f t="shared" si="40"/>
        <v>-1.0658141036401503E-13</v>
      </c>
      <c r="K120" s="681"/>
      <c r="L120" s="681"/>
      <c r="M120" s="681"/>
    </row>
    <row r="121" spans="1:13" s="671" customFormat="1" ht="15" customHeight="1" x14ac:dyDescent="0.2">
      <c r="A121" s="794" t="s">
        <v>283</v>
      </c>
      <c r="B121" s="585">
        <f t="shared" ref="B121" si="46">SUM(C121:I121)</f>
        <v>754.75249999999994</v>
      </c>
      <c r="C121" s="585">
        <f>SUM('[7]Volume Data'!$D$357:$D$359)</f>
        <v>418.51</v>
      </c>
      <c r="D121" s="585">
        <f>SUM('[7]Volume Data'!$AZ$357:$AZ$359)</f>
        <v>126.88999999999999</v>
      </c>
      <c r="E121" s="585">
        <f>SUM('[7]Volume Data'!$AJ$357:$AJ$359)</f>
        <v>79.289999999999992</v>
      </c>
      <c r="F121" s="585">
        <f>SUM('[7]Volume Data'!$AW$357:$AW$359)</f>
        <v>33.549999999999997</v>
      </c>
      <c r="G121" s="795">
        <f>(SUM('[7]Volume Data'!$AI$357:$AI$359)-SUM('[7]Volume Data'!$AJ$357:$AJ$359)-SUM('[7]Volume Data'!$AW$357:$AW$359)-SUM('[7]Volume Data'!$AZ$357:$AZ$359))</f>
        <v>35.004000000000019</v>
      </c>
      <c r="H121" s="585">
        <f>SUM('[7]Volume Data'!$P$357:$P$359)</f>
        <v>59.918499999999995</v>
      </c>
      <c r="I121" s="591">
        <f>SUM('[7]Volume Data'!$BC$357:$BC$359)</f>
        <v>1.5899999999999999</v>
      </c>
      <c r="J121" s="710">
        <f t="shared" si="40"/>
        <v>-3.907985046680551E-14</v>
      </c>
      <c r="K121" s="681"/>
      <c r="L121" s="681"/>
    </row>
    <row r="122" spans="1:13" s="671" customFormat="1" ht="15" customHeight="1" x14ac:dyDescent="0.2">
      <c r="A122" s="794" t="s">
        <v>284</v>
      </c>
      <c r="B122" s="585">
        <f t="shared" ref="B122" si="47">SUM(C122:I122)</f>
        <v>1044.6376000000002</v>
      </c>
      <c r="C122" s="585">
        <f>SUM('[7]Volume Data'!$D$360:$D$362)</f>
        <v>602.26099999999997</v>
      </c>
      <c r="D122" s="585">
        <f>SUM('[7]Volume Data'!$AZ$360:$AZ$362)</f>
        <v>88.19</v>
      </c>
      <c r="E122" s="585">
        <f>SUM('[7]Volume Data'!$AJ$360:$AJ$362)</f>
        <v>177.58</v>
      </c>
      <c r="F122" s="585">
        <f>SUM('[7]Volume Data'!$AW$360:$AW$362)</f>
        <v>33.07</v>
      </c>
      <c r="G122" s="795">
        <f>(SUM('[7]Volume Data'!$AI$360:$AI$362)-SUM('[7]Volume Data'!$AJ$360:$AJ$362)-SUM('[7]Volume Data'!$AW$360:$AW$362)-SUM('[7]Volume Data'!$AZ$360:$AZ$362))</f>
        <v>36.049600000000027</v>
      </c>
      <c r="H122" s="585">
        <f>SUM('[7]Volume Data'!$P$360:$P$362)</f>
        <v>104.43700000000001</v>
      </c>
      <c r="I122" s="591">
        <f>SUM('[7]Volume Data'!$BC$360:$BC$362)</f>
        <v>3.05</v>
      </c>
      <c r="J122" s="710">
        <f t="shared" si="40"/>
        <v>2.3891999489933369E-13</v>
      </c>
      <c r="K122" s="681"/>
      <c r="L122" s="681"/>
    </row>
    <row r="123" spans="1:13" s="671" customFormat="1" ht="15" customHeight="1" x14ac:dyDescent="0.2">
      <c r="A123" s="794" t="s">
        <v>287</v>
      </c>
      <c r="B123" s="585">
        <f t="shared" ref="B123" si="48">SUM(C123:I123)</f>
        <v>1095.6227999999999</v>
      </c>
      <c r="C123" s="585">
        <f>SUM('[7]Volume Data'!$D$363:$D$365)</f>
        <v>604.54399999999987</v>
      </c>
      <c r="D123" s="585">
        <f>SUM('[7]Volume Data'!$AZ$363:$AZ$365)</f>
        <v>101.71000000000001</v>
      </c>
      <c r="E123" s="585">
        <f>SUM('[7]Volume Data'!$AJ$363:$AJ$365)</f>
        <v>156.95999999999998</v>
      </c>
      <c r="F123" s="585">
        <f>SUM('[7]Volume Data'!$AW$363:$AW$365)</f>
        <v>29.39</v>
      </c>
      <c r="G123" s="795">
        <f>(SUM('[7]Volume Data'!$AI$363:$AI$365)-SUM('[7]Volume Data'!$AJ$363:$AJ$365)-SUM('[7]Volume Data'!$AW$363:$AW$365)-SUM('[7]Volume Data'!$AZ$363:$AZ$365))</f>
        <v>34.9786</v>
      </c>
      <c r="H123" s="585">
        <f>SUM('[7]Volume Data'!$P$363:$P$365)</f>
        <v>165.5102</v>
      </c>
      <c r="I123" s="591">
        <f>SUM('[7]Volume Data'!$BC$363:$BC$365)</f>
        <v>2.5300000000000002</v>
      </c>
      <c r="J123" s="710">
        <f t="shared" si="40"/>
        <v>0</v>
      </c>
      <c r="K123" s="681"/>
      <c r="L123" s="681"/>
    </row>
    <row r="124" spans="1:13" s="671" customFormat="1" ht="15" customHeight="1" x14ac:dyDescent="0.2">
      <c r="A124" s="794" t="s">
        <v>301</v>
      </c>
      <c r="B124" s="585">
        <f t="shared" ref="B124" si="49">SUM(C124:I124)</f>
        <v>381.28580000000005</v>
      </c>
      <c r="C124" s="585">
        <f>SUM('[7]Volume Data'!$D$366:$D$368)</f>
        <v>155.88999999999999</v>
      </c>
      <c r="D124" s="585">
        <f>SUM('[7]Volume Data'!$AZ$366:$AZ$368)</f>
        <v>18.21</v>
      </c>
      <c r="E124" s="585">
        <f>SUM('[7]Volume Data'!$AJ$366:$AJ$368)</f>
        <v>19.509999999999998</v>
      </c>
      <c r="F124" s="585">
        <f>SUM('[7]Volume Data'!$AW$366:$AW$368)</f>
        <v>103.11000000000001</v>
      </c>
      <c r="G124" s="795">
        <f>(SUM('[7]Volume Data'!$AI$366:$AI$368)-SUM('[7]Volume Data'!$AJ$366:$AJ$368)-SUM('[7]Volume Data'!$AW$366:$AW$368)-SUM('[7]Volume Data'!$AZ$366:$AZ$368))</f>
        <v>22.364999999999988</v>
      </c>
      <c r="H124" s="585">
        <f>SUM('[7]Volume Data'!$P$366:$P$368)</f>
        <v>61.460800000000006</v>
      </c>
      <c r="I124" s="591">
        <f>SUM('[7]Volume Data'!$BC$366:$BC$368)</f>
        <v>0.74</v>
      </c>
      <c r="J124" s="710">
        <f t="shared" si="40"/>
        <v>5.8841820305133297E-14</v>
      </c>
      <c r="K124" s="681"/>
      <c r="L124" s="681"/>
    </row>
    <row r="125" spans="1:13" s="671" customFormat="1" ht="15" customHeight="1" x14ac:dyDescent="0.2">
      <c r="A125" s="808" t="s">
        <v>303</v>
      </c>
      <c r="B125" s="585">
        <f t="shared" ref="B125" si="50">SUM(C125:I125)</f>
        <v>441.74499999999995</v>
      </c>
      <c r="C125" s="585">
        <f>SUM('[7]Volume Data'!$D$369:$D$371)</f>
        <v>138.69499999999999</v>
      </c>
      <c r="D125" s="585">
        <f>SUM('[7]Volume Data'!$AZ$369:$AZ$371)</f>
        <v>37.94</v>
      </c>
      <c r="E125" s="585">
        <f>SUM('[7]Volume Data'!$AJ$369:$AJ$371)</f>
        <v>17.96</v>
      </c>
      <c r="F125" s="585">
        <f>SUM('[7]Volume Data'!$AW$369:$AW$371)</f>
        <v>138.18</v>
      </c>
      <c r="G125" s="795">
        <f>(SUM('[7]Volume Data'!$AI$369:$AI$371)-SUM('[7]Volume Data'!$AJ$369:$AJ$371)-SUM('[7]Volume Data'!$AW$369:$AW$371)-SUM('[7]Volume Data'!$AZ$369:$AZ$371))</f>
        <v>18.900999999999982</v>
      </c>
      <c r="H125" s="585">
        <f>SUM('[7]Volume Data'!$P$369:$P$371)</f>
        <v>89.088999999999999</v>
      </c>
      <c r="I125" s="591">
        <f>SUM('[7]Volume Data'!$BC$369:$BC$371)</f>
        <v>0.98</v>
      </c>
      <c r="J125" s="769">
        <f t="shared" si="40"/>
        <v>-3.8635761256955448E-14</v>
      </c>
      <c r="K125" s="681"/>
      <c r="L125" s="681"/>
    </row>
    <row r="126" spans="1:13" s="671" customFormat="1" ht="15" customHeight="1" x14ac:dyDescent="0.2">
      <c r="A126" s="808" t="s">
        <v>304</v>
      </c>
      <c r="B126" s="585">
        <f t="shared" ref="B126" si="51">SUM(C126:I126)</f>
        <v>389.10920000000004</v>
      </c>
      <c r="C126" s="585">
        <f>SUM('[7]Volume Data'!$D$372:$D$374)</f>
        <v>90.228000000000009</v>
      </c>
      <c r="D126" s="585">
        <f>SUM('[7]Volume Data'!$AZ$372:$AZ$374)</f>
        <v>101.02</v>
      </c>
      <c r="E126" s="585">
        <f>SUM('[7]Volume Data'!$AJ$372:$AJ$374)</f>
        <v>14.2</v>
      </c>
      <c r="F126" s="585">
        <f>SUM('[7]Volume Data'!$AW$372:$AW$374)</f>
        <v>75.260000000000005</v>
      </c>
      <c r="G126" s="795">
        <f>(SUM('[7]Volume Data'!$AI$372:$AI$374)-SUM('[7]Volume Data'!$AJ$372:$AJ$374)-SUM('[7]Volume Data'!$AW$372:$AW$374)-SUM('[7]Volume Data'!$AZ$372:$AZ$374))</f>
        <v>17.039200000000022</v>
      </c>
      <c r="H126" s="585">
        <f>SUM('[7]Volume Data'!$P$372:$P$374)</f>
        <v>90.181999999999988</v>
      </c>
      <c r="I126" s="591">
        <f>SUM('[7]Volume Data'!$BC$372:$BC$374)</f>
        <v>1.1800000000000002</v>
      </c>
      <c r="J126" s="769">
        <f t="shared" ref="J126:J128" si="52">B126-C126-D126-E126-F126-G126-H126-I126</f>
        <v>4.929390229335695E-14</v>
      </c>
      <c r="K126" s="681"/>
      <c r="L126" s="681"/>
    </row>
    <row r="127" spans="1:13" s="671" customFormat="1" ht="15" customHeight="1" x14ac:dyDescent="0.2">
      <c r="A127" s="808" t="s">
        <v>306</v>
      </c>
      <c r="B127" s="585">
        <f t="shared" ref="B127:B128" si="53">SUM(C127:I127)</f>
        <v>659.56970000000001</v>
      </c>
      <c r="C127" s="585">
        <f>SUM('[7]Volume Data'!$D$375:$D$377)</f>
        <v>270.21199999999999</v>
      </c>
      <c r="D127" s="585">
        <f>SUM('[7]Volume Data'!$AZ$375:$AZ$377)</f>
        <v>90.74</v>
      </c>
      <c r="E127" s="585">
        <f>SUM('[7]Volume Data'!$AJ$375:$AJ$377)</f>
        <v>14.59</v>
      </c>
      <c r="F127" s="585">
        <f>SUM('[7]Volume Data'!$AW$375:$AW$377)</f>
        <v>89.289999999999992</v>
      </c>
      <c r="G127" s="795">
        <f>(SUM('[7]Volume Data'!$AI$375:$AI$377)-SUM('[7]Volume Data'!$AJ$375:$AJ$377)-SUM('[7]Volume Data'!$AW$375:$AW$377)-SUM('[7]Volume Data'!$AZ$375:$AZ$377))</f>
        <v>19.300000000000026</v>
      </c>
      <c r="H127" s="585">
        <f>SUM('[7]Volume Data'!$P$375:$P$377)</f>
        <v>174.42770000000002</v>
      </c>
      <c r="I127" s="591">
        <f>SUM('[7]Volume Data'!$BC$375:$BC$377)</f>
        <v>1.01</v>
      </c>
      <c r="J127" s="769">
        <f t="shared" si="52"/>
        <v>-9.1038288019262836E-15</v>
      </c>
      <c r="K127" s="681"/>
      <c r="L127" s="681"/>
    </row>
    <row r="128" spans="1:13" s="671" customFormat="1" ht="15" customHeight="1" x14ac:dyDescent="0.2">
      <c r="A128" s="808" t="s">
        <v>313</v>
      </c>
      <c r="B128" s="585">
        <f t="shared" si="53"/>
        <v>587.28890000000001</v>
      </c>
      <c r="C128" s="585">
        <f>SUM('[7]Volume Data'!$D$378:$D$380)</f>
        <v>253.51</v>
      </c>
      <c r="D128" s="585">
        <f>SUM('[7]Volume Data'!$AZ$378:$AZ$380)</f>
        <v>35.869999999999997</v>
      </c>
      <c r="E128" s="585">
        <f>SUM('[7]Volume Data'!$AJ$378:$AJ$380)</f>
        <v>11.850000000000001</v>
      </c>
      <c r="F128" s="585">
        <f>SUM('[7]Volume Data'!$AW$378:$AW$380)</f>
        <v>182.67000000000002</v>
      </c>
      <c r="G128" s="795">
        <f>(SUM('[7]Volume Data'!$AI$378:$AI$380)-SUM('[7]Volume Data'!$AJ$378:$AJ$380)-SUM('[7]Volume Data'!$AW$378:$AW$380)-SUM('[7]Volume Data'!$AZ$378:$AZ$380))</f>
        <v>20.812999999999967</v>
      </c>
      <c r="H128" s="585">
        <f>SUM('[7]Volume Data'!$P$378:$P$380)</f>
        <v>79.2059</v>
      </c>
      <c r="I128" s="591">
        <f>SUM('[7]Volume Data'!$BC$378:$BC$380)</f>
        <v>3.37</v>
      </c>
      <c r="J128" s="769">
        <f t="shared" si="52"/>
        <v>1.865174681370263E-14</v>
      </c>
      <c r="K128" s="681"/>
      <c r="L128" s="681"/>
    </row>
    <row r="129" spans="1:15" s="671" customFormat="1" ht="15" customHeight="1" x14ac:dyDescent="0.2">
      <c r="A129" s="798" t="s">
        <v>315</v>
      </c>
      <c r="B129" s="596">
        <f>SUM(C129:I129)</f>
        <v>785.19700000000012</v>
      </c>
      <c r="C129" s="596">
        <f>SUM('[7]Volume Data'!$D$381:$D$383)</f>
        <v>371.77</v>
      </c>
      <c r="D129" s="596">
        <f>SUM('[7]Volume Data'!$AZ$381:$AZ$383)</f>
        <v>47.49</v>
      </c>
      <c r="E129" s="596">
        <f>SUM('[7]Volume Data'!$AJ$381:$AJ$383)</f>
        <v>26.3</v>
      </c>
      <c r="F129" s="596">
        <f>SUM('[7]Volume Data'!$AW$381:$AW$383)</f>
        <v>181.3</v>
      </c>
      <c r="G129" s="796">
        <f>(SUM('[7]Volume Data'!$AI$381:$AI$383)-SUM('[7]Volume Data'!$AJ$381:$AJ$383)-SUM('[7]Volume Data'!$AW$381:$AW$383)-SUM('[7]Volume Data'!$AZ$381:$AZ$383))</f>
        <v>26.517999999999979</v>
      </c>
      <c r="H129" s="596">
        <f>SUM('[7]Volume Data'!$P$381:$P$383)</f>
        <v>128.87900000000002</v>
      </c>
      <c r="I129" s="797">
        <f>SUM('[7]Volume Data'!$BC$381:$BC$383)</f>
        <v>2.9400000000000004</v>
      </c>
      <c r="J129" s="769">
        <f t="shared" ref="J129" si="54">B129-C129-D129-E129-F129-G129-H129-I129</f>
        <v>1.1102230246251565E-13</v>
      </c>
      <c r="L129" s="681" t="s">
        <v>320</v>
      </c>
    </row>
    <row r="130" spans="1:15" s="717" customFormat="1" ht="15" customHeight="1" x14ac:dyDescent="0.3">
      <c r="A130" s="767" t="s">
        <v>194</v>
      </c>
      <c r="B130" s="768"/>
      <c r="C130" s="767"/>
      <c r="D130" s="716"/>
      <c r="E130" s="716"/>
      <c r="F130" s="716"/>
      <c r="G130" s="716"/>
      <c r="H130" s="716"/>
      <c r="I130" s="716"/>
      <c r="J130" s="712"/>
    </row>
    <row r="131" spans="1:15" x14ac:dyDescent="0.2">
      <c r="A131" s="789" t="s">
        <v>286</v>
      </c>
      <c r="K131" s="601"/>
      <c r="O131" s="42"/>
    </row>
    <row r="133" spans="1:15" x14ac:dyDescent="0.2">
      <c r="K133" s="601"/>
    </row>
    <row r="138" spans="1:15" x14ac:dyDescent="0.2">
      <c r="G138" s="626"/>
    </row>
  </sheetData>
  <mergeCells count="1">
    <mergeCell ref="A2:I2"/>
  </mergeCells>
  <printOptions gridLinesSet="0"/>
  <pageMargins left="0.59055118110236204" right="1.03" top="0.59055118110236204" bottom="1.83" header="0.5" footer="0.5"/>
  <pageSetup paperSize="9" scale="72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13" transitionEvaluation="1" codeName="Sheet10"/>
  <dimension ref="A1:X61"/>
  <sheetViews>
    <sheetView showGridLines="0" showOutlineSymbols="0" workbookViewId="0">
      <pane xSplit="2" ySplit="6" topLeftCell="C13" activePane="bottomRight" state="frozen"/>
      <selection activeCell="I36" sqref="I36"/>
      <selection pane="topRight" activeCell="I36" sqref="I36"/>
      <selection pane="bottomLeft" activeCell="I36" sqref="I36"/>
      <selection pane="bottomRight" activeCell="E31" sqref="E31"/>
    </sheetView>
  </sheetViews>
  <sheetFormatPr defaultColWidth="14" defaultRowHeight="10.199999999999999" outlineLevelRow="1" x14ac:dyDescent="0.2"/>
  <cols>
    <col min="1" max="1" width="8" style="80" customWidth="1"/>
    <col min="2" max="2" width="5" style="80" customWidth="1"/>
    <col min="3" max="3" width="12" style="80" customWidth="1"/>
    <col min="4" max="9" width="12.33203125" style="80" customWidth="1"/>
    <col min="10" max="10" width="14.33203125" style="80" bestFit="1" customWidth="1"/>
    <col min="11" max="16384" width="14" style="80"/>
  </cols>
  <sheetData>
    <row r="1" spans="1:19" ht="20.100000000000001" customHeight="1" x14ac:dyDescent="0.2">
      <c r="A1" s="487" t="s">
        <v>68</v>
      </c>
    </row>
    <row r="2" spans="1:19" ht="15" customHeight="1" x14ac:dyDescent="0.25">
      <c r="A2" s="81" t="s">
        <v>64</v>
      </c>
      <c r="B2" s="81"/>
      <c r="C2" s="81"/>
      <c r="D2" s="81"/>
      <c r="E2" s="81"/>
      <c r="F2" s="81"/>
      <c r="G2" s="81"/>
      <c r="H2" s="81"/>
      <c r="I2" s="81"/>
      <c r="J2" s="81"/>
    </row>
    <row r="3" spans="1:19" ht="13.5" customHeight="1" x14ac:dyDescent="0.2">
      <c r="A3" s="82"/>
      <c r="B3" s="82"/>
      <c r="C3" s="83"/>
      <c r="D3" s="83"/>
      <c r="E3" s="83"/>
      <c r="F3" s="83"/>
      <c r="G3" s="83"/>
      <c r="H3" s="83"/>
      <c r="I3" s="83"/>
      <c r="J3" s="83"/>
    </row>
    <row r="4" spans="1:19" ht="15" customHeight="1" x14ac:dyDescent="0.2">
      <c r="A4" s="82"/>
      <c r="B4" s="82"/>
      <c r="C4" s="83"/>
      <c r="D4" s="83"/>
      <c r="E4" s="83"/>
      <c r="F4" s="83"/>
      <c r="G4" s="83"/>
      <c r="H4" s="83"/>
      <c r="I4" s="83"/>
      <c r="J4" s="83"/>
    </row>
    <row r="5" spans="1:19" ht="15" customHeight="1" x14ac:dyDescent="0.2">
      <c r="A5" s="84" t="s">
        <v>6</v>
      </c>
      <c r="B5" s="85"/>
      <c r="C5" s="86" t="s">
        <v>39</v>
      </c>
      <c r="D5" s="86" t="s">
        <v>40</v>
      </c>
      <c r="E5" s="86" t="s">
        <v>41</v>
      </c>
      <c r="F5" s="86" t="s">
        <v>42</v>
      </c>
      <c r="G5" s="86" t="s">
        <v>43</v>
      </c>
      <c r="H5" s="86" t="s">
        <v>44</v>
      </c>
      <c r="I5" s="86" t="s">
        <v>45</v>
      </c>
      <c r="J5" s="87" t="s">
        <v>46</v>
      </c>
    </row>
    <row r="6" spans="1:19" ht="15" customHeight="1" x14ac:dyDescent="0.2">
      <c r="A6" s="247"/>
      <c r="B6" s="239"/>
      <c r="C6" s="248"/>
      <c r="D6" s="249" t="s">
        <v>135</v>
      </c>
      <c r="E6" s="248"/>
      <c r="F6" s="248"/>
      <c r="G6" s="248"/>
      <c r="H6" s="249" t="s">
        <v>48</v>
      </c>
      <c r="I6" s="248"/>
      <c r="J6" s="250"/>
    </row>
    <row r="7" spans="1:19" s="364" customFormat="1" ht="15" hidden="1" customHeight="1" outlineLevel="1" x14ac:dyDescent="0.2">
      <c r="A7" s="359" t="s">
        <v>25</v>
      </c>
      <c r="B7" s="363"/>
      <c r="C7" s="404">
        <f t="shared" ref="C7:C13" si="0">SUM(D7:J7)</f>
        <v>24.76</v>
      </c>
      <c r="D7" s="404">
        <f>[1]Bul_ann!$B$67</f>
        <v>4.37</v>
      </c>
      <c r="E7" s="404">
        <f>[1]Bul_ann!$B$109</f>
        <v>1.7400000000000002</v>
      </c>
      <c r="F7" s="404">
        <f>[1]Bul_ann!$B$73</f>
        <v>6.37</v>
      </c>
      <c r="G7" s="404">
        <f>[1]Bul_ann!$B$90</f>
        <v>0</v>
      </c>
      <c r="H7" s="404">
        <f>[1]Bul_ann!$B$88</f>
        <v>2.6</v>
      </c>
      <c r="I7" s="404">
        <f>[1]Bul_ann!$B$105</f>
        <v>8.66</v>
      </c>
      <c r="J7" s="407">
        <f>[1]Bul_ann!$B$79</f>
        <v>1.02</v>
      </c>
    </row>
    <row r="8" spans="1:19" s="94" customFormat="1" ht="15" hidden="1" customHeight="1" outlineLevel="1" x14ac:dyDescent="0.2">
      <c r="A8" s="241" t="s">
        <v>26</v>
      </c>
      <c r="B8" s="93"/>
      <c r="C8" s="404">
        <f t="shared" si="0"/>
        <v>26.169999999999998</v>
      </c>
      <c r="D8" s="404">
        <f>[1]Bul_ann!$C$67</f>
        <v>5.8</v>
      </c>
      <c r="E8" s="404">
        <f>[1]Bul_ann!$C$109</f>
        <v>1.67</v>
      </c>
      <c r="F8" s="404">
        <f>[1]Bul_ann!$C$73</f>
        <v>5.9600000000000009</v>
      </c>
      <c r="G8" s="404">
        <f>[1]Bul_ann!$C$90</f>
        <v>0</v>
      </c>
      <c r="H8" s="404">
        <f>[1]Bul_ann!$C$88</f>
        <v>2.64</v>
      </c>
      <c r="I8" s="404">
        <f>[1]Bul_ann!$C$105</f>
        <v>9.27</v>
      </c>
      <c r="J8" s="407">
        <f>[1]Bul_ann!$C$79</f>
        <v>0.83</v>
      </c>
    </row>
    <row r="9" spans="1:19" s="94" customFormat="1" ht="15" customHeight="1" collapsed="1" x14ac:dyDescent="0.2">
      <c r="A9" s="241" t="s">
        <v>111</v>
      </c>
      <c r="B9" s="93"/>
      <c r="C9" s="404">
        <f t="shared" si="0"/>
        <v>18.550149678581914</v>
      </c>
      <c r="D9" s="404">
        <f>[1]Bul_ann!$D$68</f>
        <v>2.2563268466197335</v>
      </c>
      <c r="E9" s="404">
        <f>[1]Bul_ann!$D$110</f>
        <v>0.82230118308925704</v>
      </c>
      <c r="F9" s="404">
        <f>[1]Bul_ann!$D$74</f>
        <v>1.7566945898898134</v>
      </c>
      <c r="G9" s="404">
        <f>[1]Bul_ann!$D$91</f>
        <v>3.0700000000000003</v>
      </c>
      <c r="H9" s="404">
        <f>[1]Bul_ann!$D$89</f>
        <v>3.8010827981161244</v>
      </c>
      <c r="I9" s="404">
        <f>[1]Bul_ann!$D$106</f>
        <v>5.4388097978191983</v>
      </c>
      <c r="J9" s="407">
        <f>[1]Bul_ann!$D$80</f>
        <v>1.4049344630477838</v>
      </c>
    </row>
    <row r="10" spans="1:19" s="94" customFormat="1" ht="15" customHeight="1" x14ac:dyDescent="0.2">
      <c r="A10" s="241" t="s">
        <v>121</v>
      </c>
      <c r="B10" s="93"/>
      <c r="C10" s="404">
        <f t="shared" si="0"/>
        <v>24.044670786176141</v>
      </c>
      <c r="D10" s="404">
        <f>[1]Bul_ann!$E$68</f>
        <v>2.9421669543606113</v>
      </c>
      <c r="E10" s="404">
        <f>[1]Bul_ann!$E$110</f>
        <v>1.0286760547974658</v>
      </c>
      <c r="F10" s="404">
        <f>[1]Bul_ann!$E$74</f>
        <v>2.4567153055981246</v>
      </c>
      <c r="G10" s="404">
        <f>[1]Bul_ann!$E$91</f>
        <v>3.55</v>
      </c>
      <c r="H10" s="404">
        <f>[1]Bul_ann!$E$89</f>
        <v>5.8574755199153383</v>
      </c>
      <c r="I10" s="404">
        <f>[1]Bul_ann!$E$106</f>
        <v>5.0727738360416437</v>
      </c>
      <c r="J10" s="407">
        <f>[1]Bul_ann!$E$80</f>
        <v>3.13686311546296</v>
      </c>
    </row>
    <row r="11" spans="1:19" s="94" customFormat="1" ht="15" customHeight="1" x14ac:dyDescent="0.2">
      <c r="A11" s="241" t="s">
        <v>122</v>
      </c>
      <c r="B11" s="93"/>
      <c r="C11" s="404">
        <f t="shared" si="0"/>
        <v>29.578193386869494</v>
      </c>
      <c r="D11" s="404">
        <f>[1]Bul_ann!$F$68</f>
        <v>3.4782772786626119</v>
      </c>
      <c r="E11" s="404">
        <f>[1]Bul_ann!$F$110</f>
        <v>1.133847643845884</v>
      </c>
      <c r="F11" s="404">
        <f>[1]Bul_ann!$F$74</f>
        <v>4.4467539247634216</v>
      </c>
      <c r="G11" s="404">
        <f>[1]Bul_ann!$F$91</f>
        <v>3.5300000000000002</v>
      </c>
      <c r="H11" s="404">
        <f>[1]Bul_ann!$F$89</f>
        <v>6.2177176290398632</v>
      </c>
      <c r="I11" s="404">
        <f>[1]Bul_ann!$F$106</f>
        <v>5.8636091413187588</v>
      </c>
      <c r="J11" s="407">
        <f>[1]Bul_ann!$F$80</f>
        <v>4.9079877692389529</v>
      </c>
    </row>
    <row r="12" spans="1:19" ht="15" customHeight="1" x14ac:dyDescent="0.2">
      <c r="A12" s="241" t="s">
        <v>133</v>
      </c>
      <c r="B12" s="104"/>
      <c r="C12" s="404">
        <f t="shared" si="0"/>
        <v>22.855398354853328</v>
      </c>
      <c r="D12" s="404">
        <f>[1]Bul_ann!$G$68</f>
        <v>1.9289127033549405</v>
      </c>
      <c r="E12" s="404">
        <f>[1]Bul_ann!$G$110</f>
        <v>1.3370471872901162</v>
      </c>
      <c r="F12" s="404">
        <f>[1]Bul_ann!$G$74</f>
        <v>3.0036915906726986</v>
      </c>
      <c r="G12" s="404">
        <f>[1]Bul_ann!$G$91</f>
        <v>2.5499999999999998</v>
      </c>
      <c r="H12" s="404">
        <f>[1]Bul_ann!$G$89</f>
        <v>6.1297228731454911</v>
      </c>
      <c r="I12" s="404">
        <f>[1]Bul_ann!$G$106</f>
        <v>5.2335203327687996</v>
      </c>
      <c r="J12" s="407">
        <f>[1]Bul_ann!$G$80</f>
        <v>2.6725036676212812</v>
      </c>
      <c r="L12" s="352"/>
      <c r="M12" s="352"/>
      <c r="N12" s="352"/>
      <c r="O12" s="352"/>
      <c r="P12" s="352"/>
      <c r="Q12" s="352"/>
      <c r="R12" s="352"/>
      <c r="S12" s="352"/>
    </row>
    <row r="13" spans="1:19" ht="15" customHeight="1" x14ac:dyDescent="0.2">
      <c r="A13" s="241" t="s">
        <v>148</v>
      </c>
      <c r="B13" s="104"/>
      <c r="C13" s="404">
        <f t="shared" si="0"/>
        <v>25.636430860047074</v>
      </c>
      <c r="D13" s="404">
        <f>[1]Bul_ann!$H$68</f>
        <v>2.2967098755719668</v>
      </c>
      <c r="E13" s="404">
        <f>[1]Bul_ann!$H$110</f>
        <v>1.4299532359976377</v>
      </c>
      <c r="F13" s="404">
        <f>[1]Bul_ann!$H$74</f>
        <v>3.0885939046295903</v>
      </c>
      <c r="G13" s="404">
        <f>[1]Bul_ann!$H$91</f>
        <v>2.76</v>
      </c>
      <c r="H13" s="404">
        <f>[1]Bul_ann!$H$89</f>
        <v>5.9421310139865158</v>
      </c>
      <c r="I13" s="404">
        <f>[1]Bul_ann!$H$106</f>
        <v>6.858924964547441</v>
      </c>
      <c r="J13" s="407">
        <f>[1]Bul_ann!$H$80</f>
        <v>3.260117865313922</v>
      </c>
      <c r="L13" s="352"/>
      <c r="M13" s="352"/>
      <c r="N13" s="352"/>
      <c r="O13" s="352"/>
      <c r="P13" s="352"/>
      <c r="Q13" s="352"/>
      <c r="R13" s="352"/>
      <c r="S13" s="352"/>
    </row>
    <row r="14" spans="1:19" ht="20.25" hidden="1" customHeight="1" outlineLevel="1" x14ac:dyDescent="0.2">
      <c r="A14" s="105">
        <v>1994</v>
      </c>
      <c r="B14" s="95"/>
      <c r="C14" s="404"/>
      <c r="D14" s="404"/>
      <c r="E14" s="404"/>
      <c r="F14" s="404"/>
      <c r="G14" s="404"/>
      <c r="H14" s="404"/>
      <c r="I14" s="404"/>
      <c r="J14" s="407"/>
      <c r="L14"/>
      <c r="M14"/>
      <c r="N14"/>
      <c r="O14"/>
      <c r="P14"/>
      <c r="Q14"/>
      <c r="R14"/>
      <c r="S14"/>
    </row>
    <row r="15" spans="1:19" ht="12.75" hidden="1" customHeight="1" outlineLevel="1" x14ac:dyDescent="0.2">
      <c r="A15" s="97" t="s">
        <v>27</v>
      </c>
      <c r="B15" s="95"/>
      <c r="C15" s="404">
        <f>SUM(D15:J15)</f>
        <v>1660.6281600877192</v>
      </c>
      <c r="D15" s="404">
        <f>'[1]MKT_94(R)'!$C$70</f>
        <v>30.62</v>
      </c>
      <c r="E15" s="404">
        <f>'[1]MKT_94(R)'!$C$112</f>
        <v>0.35044444444444434</v>
      </c>
      <c r="F15" s="404">
        <f>'[1]MKT_94(R)'!$C$76</f>
        <v>840.25</v>
      </c>
      <c r="G15" s="404">
        <f>'[1]MKT_94(R)'!$C$124</f>
        <v>1.1277156432748539</v>
      </c>
      <c r="H15" s="404">
        <f>'[1]MKT_94(R)'!$C$91</f>
        <v>0.5</v>
      </c>
      <c r="I15" s="404">
        <f>'[1]MKT_94(R)'!$C$108</f>
        <v>0.31</v>
      </c>
      <c r="J15" s="407">
        <f>'[1]MKT_94(R)'!$C$82</f>
        <v>787.47</v>
      </c>
      <c r="L15" s="352"/>
      <c r="M15" s="352"/>
      <c r="N15" s="352"/>
      <c r="O15" s="352"/>
      <c r="P15" s="352"/>
      <c r="Q15" s="352"/>
      <c r="R15" s="352"/>
      <c r="S15" s="352"/>
    </row>
    <row r="16" spans="1:19" ht="12.75" hidden="1" customHeight="1" outlineLevel="1" x14ac:dyDescent="0.2">
      <c r="A16" s="101" t="s">
        <v>28</v>
      </c>
      <c r="B16" s="95"/>
      <c r="C16" s="404">
        <f>SUM(D16:J16)</f>
        <v>2220.0070351469781</v>
      </c>
      <c r="D16" s="404">
        <f>'[1]MKT_94(R)'!$D$70</f>
        <v>92.92</v>
      </c>
      <c r="E16" s="404">
        <f>'[1]MKT_94(R)'!$D$112</f>
        <v>0.52297364085667208</v>
      </c>
      <c r="F16" s="404">
        <f>'[1]MKT_94(R)'!$D$76</f>
        <v>1113.9000000000001</v>
      </c>
      <c r="G16" s="404">
        <f>'[1]MKT_94(R)'!$D$124</f>
        <v>0.9440615061210802</v>
      </c>
      <c r="H16" s="404">
        <f>'[1]MKT_94(R)'!$D$91</f>
        <v>0.75</v>
      </c>
      <c r="I16" s="404">
        <f>'[1]MKT_94(R)'!$D$108</f>
        <v>0.44</v>
      </c>
      <c r="J16" s="407">
        <f>'[1]MKT_94(R)'!$D$82</f>
        <v>1010.5300000000001</v>
      </c>
      <c r="L16" s="352"/>
      <c r="M16" s="352"/>
      <c r="N16" s="352"/>
      <c r="O16" s="352"/>
      <c r="P16" s="352"/>
      <c r="Q16" s="352"/>
      <c r="R16" s="352"/>
      <c r="S16" s="352"/>
    </row>
    <row r="17" spans="1:19" ht="12.75" hidden="1" customHeight="1" outlineLevel="1" x14ac:dyDescent="0.2">
      <c r="A17" s="41" t="s">
        <v>29</v>
      </c>
      <c r="B17" s="95"/>
      <c r="C17" s="404">
        <f>SUM(D17:J17)</f>
        <v>2450.7805801639329</v>
      </c>
      <c r="D17" s="404">
        <f>'[1]MKT_94(R)'!$E$70</f>
        <v>98.24</v>
      </c>
      <c r="E17" s="404">
        <f>'[1]MKT_94(R)'!$E$112</f>
        <v>0.6801666666666667</v>
      </c>
      <c r="F17" s="404">
        <f>'[1]MKT_94(R)'!$E$76</f>
        <v>1230.23</v>
      </c>
      <c r="G17" s="404">
        <f>'[1]MKT_94(R)'!$E$124</f>
        <v>0.81041349726609369</v>
      </c>
      <c r="H17" s="404">
        <f>'[1]MKT_94(R)'!$E$91</f>
        <v>0.65</v>
      </c>
      <c r="I17" s="404">
        <f>'[1]MKT_94(R)'!$E$108</f>
        <v>0.6</v>
      </c>
      <c r="J17" s="407">
        <f>'[1]MKT_94(R)'!$E$82</f>
        <v>1119.57</v>
      </c>
      <c r="L17" s="352"/>
      <c r="M17" s="352"/>
      <c r="N17" s="352"/>
      <c r="O17" s="352"/>
      <c r="P17" s="352"/>
      <c r="Q17" s="352"/>
      <c r="R17" s="352"/>
      <c r="S17" s="352"/>
    </row>
    <row r="18" spans="1:19" ht="12.75" hidden="1" customHeight="1" outlineLevel="1" x14ac:dyDescent="0.2">
      <c r="A18" s="46" t="s">
        <v>30</v>
      </c>
      <c r="B18" s="98"/>
      <c r="C18" s="404">
        <f>SUM(D18:J18)</f>
        <v>3073.5552082219569</v>
      </c>
      <c r="D18" s="404">
        <f>'[1]MKT_94(R)'!$F$70</f>
        <v>59.37</v>
      </c>
      <c r="E18" s="404">
        <f>'[1]MKT_94(R)'!$F$112</f>
        <v>1.2296800000000001</v>
      </c>
      <c r="F18" s="404">
        <f>'[1]MKT_94(R)'!$F$76</f>
        <v>1547.64</v>
      </c>
      <c r="G18" s="404">
        <f>'[1]MKT_94(R)'!$F$124</f>
        <v>1.0355282219565285</v>
      </c>
      <c r="H18" s="404">
        <f>'[1]MKT_94(R)'!$F$91</f>
        <v>0.72</v>
      </c>
      <c r="I18" s="404">
        <f>'[1]MKT_94(R)'!$F$108</f>
        <v>0.43</v>
      </c>
      <c r="J18" s="407">
        <f>'[1]MKT_94(R)'!$F$82</f>
        <v>1463.13</v>
      </c>
      <c r="L18" s="352"/>
      <c r="M18" s="352"/>
      <c r="N18" s="352"/>
      <c r="O18" s="352"/>
      <c r="P18" s="352"/>
      <c r="Q18" s="352"/>
      <c r="R18" s="352"/>
      <c r="S18" s="352"/>
    </row>
    <row r="19" spans="1:19" ht="15.75" customHeight="1" collapsed="1" x14ac:dyDescent="0.2">
      <c r="A19" s="105">
        <v>1995</v>
      </c>
      <c r="B19" s="95"/>
      <c r="C19" s="404"/>
      <c r="D19" s="404"/>
      <c r="E19" s="404"/>
      <c r="F19" s="404"/>
      <c r="G19" s="404"/>
      <c r="H19" s="404"/>
      <c r="I19" s="404"/>
      <c r="J19" s="407"/>
      <c r="L19"/>
      <c r="M19"/>
      <c r="N19"/>
      <c r="O19"/>
      <c r="P19"/>
      <c r="Q19"/>
      <c r="R19"/>
      <c r="S19"/>
    </row>
    <row r="20" spans="1:19" ht="15" customHeight="1" x14ac:dyDescent="0.2">
      <c r="A20" s="300" t="s">
        <v>27</v>
      </c>
      <c r="B20" s="98"/>
      <c r="C20" s="404">
        <f>SUM(D20:J20)</f>
        <v>4.4028175379307086</v>
      </c>
      <c r="D20" s="404">
        <f>'[1]MKT_94(R)'!G$124</f>
        <v>0.89140876896535426</v>
      </c>
      <c r="E20" s="404">
        <f>'[1]MKT_94(R)'!$G$147</f>
        <v>0</v>
      </c>
      <c r="F20" s="404">
        <f>'[1]MKT_94(R)'!$G$101</f>
        <v>0.5</v>
      </c>
      <c r="G20" s="404">
        <f>'[1]MKT_94(R)'!$G$124</f>
        <v>0.89140876896535426</v>
      </c>
      <c r="H20" s="404">
        <f>'[1]MKT_94(R)'!$G$120</f>
        <v>1.56</v>
      </c>
      <c r="I20" s="404">
        <f>'[1]MKT_94(R)'!$G$141</f>
        <v>0.56000000000000005</v>
      </c>
      <c r="J20" s="407">
        <f>'[1]MKT_94(R)'!$G$109</f>
        <v>0</v>
      </c>
      <c r="L20" s="352"/>
      <c r="M20" s="352"/>
      <c r="N20" s="352"/>
      <c r="O20" s="352"/>
      <c r="P20" s="352"/>
      <c r="Q20" s="352"/>
      <c r="R20" s="352"/>
      <c r="S20" s="352"/>
    </row>
    <row r="21" spans="1:19" ht="15" customHeight="1" x14ac:dyDescent="0.2">
      <c r="A21" s="300" t="s">
        <v>28</v>
      </c>
      <c r="B21" s="98"/>
      <c r="C21" s="404">
        <f>SUM(D21:J21)</f>
        <v>3.5575172580440708</v>
      </c>
      <c r="D21" s="404">
        <f>'[1]MKT_94(R)'!H$124</f>
        <v>0.66375862902203542</v>
      </c>
      <c r="E21" s="404">
        <f>'[1]MKT_94(R)'!$H$147</f>
        <v>0</v>
      </c>
      <c r="F21" s="404">
        <f>'[1]MKT_94(R)'!$H$101</f>
        <v>0.38</v>
      </c>
      <c r="G21" s="404">
        <f>'[1]MKT_94(R)'!$H$124</f>
        <v>0.66375862902203542</v>
      </c>
      <c r="H21" s="404">
        <f>'[1]MKT_94(R)'!$H$120</f>
        <v>1.1200000000000001</v>
      </c>
      <c r="I21" s="404">
        <f>'[1]MKT_94(R)'!$H$141</f>
        <v>0.73</v>
      </c>
      <c r="J21" s="407">
        <f>'[1]MKT_94(R)'!$H$109</f>
        <v>0</v>
      </c>
      <c r="L21" s="352"/>
      <c r="M21" s="352"/>
      <c r="N21" s="352"/>
      <c r="O21" s="352"/>
      <c r="P21" s="352"/>
      <c r="Q21" s="352"/>
      <c r="R21" s="352"/>
      <c r="S21" s="352"/>
    </row>
    <row r="22" spans="1:19" ht="15" customHeight="1" x14ac:dyDescent="0.2">
      <c r="A22" s="300" t="s">
        <v>29</v>
      </c>
      <c r="B22" s="98"/>
      <c r="C22" s="404">
        <f>SUM(D22:J22)</f>
        <v>3.5459483914381811</v>
      </c>
      <c r="D22" s="404">
        <f>'[1]MKT_94(R)'!I$124</f>
        <v>0.75297419571909041</v>
      </c>
      <c r="E22" s="404">
        <f>'[1]MKT_94(R)'!$I$147</f>
        <v>0</v>
      </c>
      <c r="F22" s="404">
        <f>'[1]MKT_94(R)'!$I$101</f>
        <v>0.46</v>
      </c>
      <c r="G22" s="404">
        <f>'[1]MKT_94(R)'!$I$124</f>
        <v>0.75297419571909041</v>
      </c>
      <c r="H22" s="404">
        <f>'[1]MKT_94(R)'!$I$120</f>
        <v>1.1499999999999999</v>
      </c>
      <c r="I22" s="404">
        <f>'[1]MKT_94(R)'!$I$141</f>
        <v>0.43</v>
      </c>
      <c r="J22" s="407">
        <f>'[1]MKT_94(R)'!$I$109</f>
        <v>0</v>
      </c>
      <c r="L22" s="352"/>
      <c r="M22" s="352"/>
      <c r="N22" s="352"/>
      <c r="O22" s="352"/>
      <c r="P22" s="352"/>
      <c r="Q22" s="352"/>
      <c r="R22" s="352"/>
      <c r="S22" s="352"/>
    </row>
    <row r="23" spans="1:19" s="349" customFormat="1" ht="15" customHeight="1" x14ac:dyDescent="0.2">
      <c r="A23" s="300" t="s">
        <v>30</v>
      </c>
      <c r="B23" s="348"/>
      <c r="C23" s="404">
        <f>SUM(D23:J23)</f>
        <v>7.4398218569464705</v>
      </c>
      <c r="D23" s="404">
        <f>'[1]MKT_94(R)'!J$124</f>
        <v>0.99491092847323559</v>
      </c>
      <c r="E23" s="404">
        <f>'[1]MKT_94(R)'!$J$147</f>
        <v>0</v>
      </c>
      <c r="F23" s="404">
        <f>'[1]MKT_94(R)'!$J$101</f>
        <v>0.43</v>
      </c>
      <c r="G23" s="404">
        <f>'[1]MKT_94(R)'!$J$124</f>
        <v>0.99491092847323559</v>
      </c>
      <c r="H23" s="404">
        <f>'[1]MKT_94(R)'!$J$120</f>
        <v>4.3499999999999996</v>
      </c>
      <c r="I23" s="404">
        <f>'[1]MKT_94(R)'!$J$141</f>
        <v>0.67</v>
      </c>
      <c r="J23" s="407">
        <f>'[1]MKT_94(R)'!$J$109</f>
        <v>0</v>
      </c>
      <c r="L23" s="354"/>
      <c r="M23" s="354"/>
      <c r="N23" s="354"/>
      <c r="O23" s="354"/>
      <c r="P23" s="354"/>
      <c r="Q23" s="354"/>
      <c r="R23" s="354"/>
      <c r="S23" s="354"/>
    </row>
    <row r="24" spans="1:19" ht="15" customHeight="1" x14ac:dyDescent="0.2">
      <c r="A24" s="105">
        <v>1996</v>
      </c>
      <c r="B24" s="95"/>
      <c r="C24" s="404"/>
      <c r="D24" s="404"/>
      <c r="E24" s="404"/>
      <c r="F24" s="404"/>
      <c r="G24" s="404"/>
      <c r="H24" s="404"/>
      <c r="I24" s="404"/>
      <c r="J24" s="407"/>
      <c r="L24"/>
      <c r="M24"/>
      <c r="N24"/>
      <c r="O24"/>
      <c r="P24"/>
      <c r="Q24"/>
      <c r="R24"/>
      <c r="S24"/>
    </row>
    <row r="25" spans="1:19" ht="15" customHeight="1" x14ac:dyDescent="0.2">
      <c r="A25" s="300" t="s">
        <v>27</v>
      </c>
      <c r="B25" s="98"/>
      <c r="C25" s="404">
        <f>SUM(D25:J25)</f>
        <v>6.2528891885722739</v>
      </c>
      <c r="D25" s="404">
        <f>'[1]MKT_94(R)'!K$124</f>
        <v>1.0414445942861368</v>
      </c>
      <c r="E25" s="404">
        <f>'[1]MKT_94(R)'!$K$147</f>
        <v>0</v>
      </c>
      <c r="F25" s="404">
        <f>'[1]MKT_94(R)'!$K$101</f>
        <v>0.39</v>
      </c>
      <c r="G25" s="404">
        <f>'[1]MKT_94(R)'!$K$124</f>
        <v>1.0414445942861368</v>
      </c>
      <c r="H25" s="404">
        <f>'[1]MKT_94(R)'!$K$120</f>
        <v>2.38</v>
      </c>
      <c r="I25" s="404">
        <f>'[1]MKT_94(R)'!$K$141</f>
        <v>1.4</v>
      </c>
      <c r="J25" s="407">
        <f>'[1]MKT_94(R)'!$K$109</f>
        <v>0</v>
      </c>
      <c r="L25" s="352"/>
      <c r="M25" s="352"/>
      <c r="N25" s="352"/>
      <c r="O25" s="352"/>
      <c r="P25" s="352"/>
      <c r="Q25" s="352"/>
      <c r="R25" s="352"/>
      <c r="S25" s="352"/>
    </row>
    <row r="26" spans="1:19" s="349" customFormat="1" ht="15" customHeight="1" x14ac:dyDescent="0.2">
      <c r="A26" s="300" t="s">
        <v>28</v>
      </c>
      <c r="B26" s="348"/>
      <c r="C26" s="404">
        <f>SUM(D26:J26)</f>
        <v>4.35838168404947</v>
      </c>
      <c r="D26" s="404">
        <f>'[1]MKT_94(R)'!L$124</f>
        <v>0.96419084202473471</v>
      </c>
      <c r="E26" s="404">
        <f>'[1]MKT_94(R)'!$L$147</f>
        <v>0</v>
      </c>
      <c r="F26" s="404">
        <f>'[1]MKT_94(R)'!$L$101</f>
        <v>0.39</v>
      </c>
      <c r="G26" s="404">
        <f>'[1]MKT_94(R)'!$L$124</f>
        <v>0.96419084202473471</v>
      </c>
      <c r="H26" s="404">
        <f>'[1]MKT_94(R)'!$L$120</f>
        <v>1.22</v>
      </c>
      <c r="I26" s="404">
        <f>'[1]MKT_94(R)'!$L$141</f>
        <v>0.82</v>
      </c>
      <c r="J26" s="407">
        <f>'[1]MKT_94(R)'!$L$109</f>
        <v>0</v>
      </c>
      <c r="L26" s="354"/>
      <c r="M26" s="354"/>
      <c r="N26" s="354"/>
      <c r="O26" s="354"/>
      <c r="P26" s="354"/>
      <c r="Q26" s="354"/>
      <c r="R26" s="354"/>
      <c r="S26" s="354"/>
    </row>
    <row r="27" spans="1:19" s="349" customFormat="1" ht="15" customHeight="1" x14ac:dyDescent="0.2">
      <c r="A27" s="300" t="s">
        <v>29</v>
      </c>
      <c r="B27" s="348"/>
      <c r="C27" s="404">
        <f>SUM(D27:J27)</f>
        <v>3.8568223584364496</v>
      </c>
      <c r="D27" s="404">
        <f>'[1]MKT_94(R)'!M$124</f>
        <v>0.91341117921822468</v>
      </c>
      <c r="E27" s="404">
        <f>'[1]MKT_94(R)'!$M$147</f>
        <v>0</v>
      </c>
      <c r="F27" s="404">
        <f>'[1]MKT_94(R)'!$M$101</f>
        <v>0.45</v>
      </c>
      <c r="G27" s="404">
        <f>'[1]MKT_94(R)'!$M$124</f>
        <v>0.91341117921822468</v>
      </c>
      <c r="H27" s="404">
        <f>'[1]MKT_94(R)'!$M$120</f>
        <v>1.1100000000000001</v>
      </c>
      <c r="I27" s="404">
        <f>'[1]MKT_94(R)'!$M$141</f>
        <v>0.47</v>
      </c>
      <c r="J27" s="407">
        <f>'[1]MKT_94(R)'!$M$109</f>
        <v>0</v>
      </c>
      <c r="L27" s="354"/>
      <c r="M27" s="354"/>
      <c r="N27" s="354"/>
      <c r="O27" s="354"/>
      <c r="P27" s="354"/>
      <c r="Q27" s="354"/>
      <c r="R27" s="354"/>
      <c r="S27" s="354"/>
    </row>
    <row r="28" spans="1:19" s="349" customFormat="1" ht="15" customHeight="1" x14ac:dyDescent="0.2">
      <c r="A28" s="300" t="s">
        <v>30</v>
      </c>
      <c r="B28" s="348"/>
      <c r="C28" s="404">
        <f>SUM(D28:J28)</f>
        <v>5.4801462298558956</v>
      </c>
      <c r="D28" s="404">
        <f>'[1]MKT_94(R)'!N$124</f>
        <v>0.98007311492794769</v>
      </c>
      <c r="E28" s="404">
        <f>'[1]MKT_94(R)'!$N$147</f>
        <v>0</v>
      </c>
      <c r="F28" s="404">
        <f>'[1]MKT_94(R)'!$N$101</f>
        <v>0.38</v>
      </c>
      <c r="G28" s="404">
        <f>'[1]MKT_94(R)'!$N$124</f>
        <v>0.98007311492794769</v>
      </c>
      <c r="H28" s="404">
        <f>'[1]MKT_94(R)'!$N$120</f>
        <v>2.68</v>
      </c>
      <c r="I28" s="404">
        <f>'[1]MKT_94(R)'!$N$141</f>
        <v>0.46</v>
      </c>
      <c r="J28" s="407">
        <f>'[1]MKT_94(R)'!$N$109</f>
        <v>0</v>
      </c>
      <c r="L28" s="354"/>
      <c r="M28" s="354"/>
      <c r="N28" s="354"/>
      <c r="O28" s="354"/>
      <c r="P28" s="354"/>
      <c r="Q28" s="354"/>
      <c r="R28" s="354"/>
      <c r="S28" s="354"/>
    </row>
    <row r="29" spans="1:19" s="349" customFormat="1" ht="15" customHeight="1" x14ac:dyDescent="0.2">
      <c r="A29" s="105">
        <v>1997</v>
      </c>
      <c r="B29" s="348"/>
      <c r="C29" s="404"/>
      <c r="D29" s="404"/>
      <c r="E29" s="404"/>
      <c r="F29" s="404"/>
      <c r="G29" s="404"/>
      <c r="H29" s="404"/>
      <c r="I29" s="404"/>
      <c r="J29" s="407"/>
      <c r="L29" s="354"/>
      <c r="M29" s="354"/>
      <c r="N29" s="354"/>
      <c r="O29" s="354"/>
      <c r="P29" s="354"/>
      <c r="Q29" s="354"/>
      <c r="R29" s="354"/>
      <c r="S29" s="354"/>
    </row>
    <row r="30" spans="1:19" s="349" customFormat="1" ht="15" customHeight="1" x14ac:dyDescent="0.2">
      <c r="A30" s="300" t="s">
        <v>27</v>
      </c>
      <c r="B30" s="348"/>
      <c r="C30" s="404">
        <f>SUM(D30:J30)</f>
        <v>4.2854711009435924</v>
      </c>
      <c r="D30" s="404">
        <f>'[1]MKT_94(R)'!O$124</f>
        <v>0.97273555047179583</v>
      </c>
      <c r="E30" s="404">
        <f>'[1]MKT_94(R)'!$O$147</f>
        <v>0</v>
      </c>
      <c r="F30" s="404">
        <f>'[1]MKT_94(R)'!$O$101</f>
        <v>0.28000000000000003</v>
      </c>
      <c r="G30" s="404">
        <f>'[1]MKT_94(R)'!$O$124</f>
        <v>0.97273555047179583</v>
      </c>
      <c r="H30" s="404">
        <f>'[1]MKT_94(R)'!$O$120</f>
        <v>1</v>
      </c>
      <c r="I30" s="404">
        <f>'[1]MKT_94(R)'!$O$141</f>
        <v>1.06</v>
      </c>
      <c r="J30" s="407">
        <f>'[1]MKT_94(R)'!$O$109</f>
        <v>0</v>
      </c>
      <c r="L30" s="354"/>
      <c r="M30" s="354"/>
      <c r="N30" s="354"/>
      <c r="O30" s="354"/>
      <c r="P30" s="354"/>
      <c r="Q30" s="354"/>
      <c r="R30" s="354"/>
      <c r="S30" s="354"/>
    </row>
    <row r="31" spans="1:19" s="349" customFormat="1" ht="15" customHeight="1" x14ac:dyDescent="0.2">
      <c r="A31" s="300" t="s">
        <v>28</v>
      </c>
      <c r="B31" s="348"/>
      <c r="C31" s="404">
        <f>SUM(D31:J31)</f>
        <v>4.5209365682602289</v>
      </c>
      <c r="D31" s="404">
        <f>'[1]MKT_94(R)'!P$124</f>
        <v>0.92046828413011461</v>
      </c>
      <c r="E31" s="404">
        <f>'[1]MKT_94(R)'!$P$147</f>
        <v>0</v>
      </c>
      <c r="F31" s="404">
        <f>'[1]MKT_94(R)'!$P$101</f>
        <v>0.4</v>
      </c>
      <c r="G31" s="404">
        <f>'[1]MKT_94(R)'!$P$124</f>
        <v>0.92046828413011461</v>
      </c>
      <c r="H31" s="404">
        <f>'[1]MKT_94(R)'!$P$120</f>
        <v>1.43</v>
      </c>
      <c r="I31" s="404">
        <f>'[1]MKT_94(R)'!$P$141</f>
        <v>0.85</v>
      </c>
      <c r="J31" s="407">
        <f>'[1]MKT_94(R)'!$P$109</f>
        <v>0</v>
      </c>
      <c r="L31" s="354"/>
      <c r="M31" s="354"/>
      <c r="N31" s="354"/>
      <c r="O31" s="354"/>
      <c r="P31" s="354"/>
      <c r="Q31" s="354"/>
      <c r="R31" s="354"/>
      <c r="S31" s="354"/>
    </row>
    <row r="32" spans="1:19" s="349" customFormat="1" ht="15" customHeight="1" x14ac:dyDescent="0.2">
      <c r="A32" s="300" t="s">
        <v>29</v>
      </c>
      <c r="B32" s="348"/>
      <c r="C32" s="404">
        <f>SUM(D32:J32)</f>
        <v>6.3374296820205762</v>
      </c>
      <c r="D32" s="404">
        <f>'[1]MKT_94(R)'!Q$124</f>
        <v>1.578714841010288</v>
      </c>
      <c r="E32" s="404">
        <f>'[1]MKT_94(R)'!$Q$147</f>
        <v>0</v>
      </c>
      <c r="F32" s="404">
        <f>'[1]MKT_94(R)'!$Q$101</f>
        <v>0.63</v>
      </c>
      <c r="G32" s="404">
        <f>'[1]MKT_94(R)'!$Q$124</f>
        <v>1.578714841010288</v>
      </c>
      <c r="H32" s="404">
        <f>'[1]MKT_94(R)'!$Q$120</f>
        <v>1.88</v>
      </c>
      <c r="I32" s="404">
        <f>'[1]MKT_94(R)'!$Q$141</f>
        <v>0.67</v>
      </c>
      <c r="J32" s="407">
        <f>'[1]MKT_94(R)'!$Q$109</f>
        <v>0</v>
      </c>
      <c r="L32" s="354"/>
      <c r="M32" s="354"/>
      <c r="N32" s="354"/>
      <c r="O32" s="354"/>
      <c r="P32" s="354"/>
      <c r="Q32" s="354"/>
      <c r="R32" s="354"/>
      <c r="S32" s="354"/>
    </row>
    <row r="33" spans="1:19" s="349" customFormat="1" ht="15" customHeight="1" x14ac:dyDescent="0.2">
      <c r="A33" s="300" t="s">
        <v>30</v>
      </c>
      <c r="B33" s="348"/>
      <c r="C33" s="404">
        <f>SUM(D33:J33)</f>
        <v>8.0238604935796332</v>
      </c>
      <c r="D33" s="404">
        <f>'[1]MKT_94(R)'!R$124</f>
        <v>1.7369302467898167</v>
      </c>
      <c r="E33" s="404">
        <f>'[1]MKT_94(R)'!$R$147</f>
        <v>0</v>
      </c>
      <c r="F33" s="404">
        <f>'[1]MKT_94(R)'!$R$101</f>
        <v>0.63</v>
      </c>
      <c r="G33" s="404">
        <f>'[1]MKT_94(R)'!$R$124</f>
        <v>1.7369302467898167</v>
      </c>
      <c r="H33" s="404">
        <f>'[1]MKT_94(R)'!$R$120</f>
        <v>3.14</v>
      </c>
      <c r="I33" s="404">
        <f>'[1]MKT_94(R)'!$R$141</f>
        <v>0.78</v>
      </c>
      <c r="J33" s="407">
        <f>'[1]MKT_94(R)'!$R$109</f>
        <v>0</v>
      </c>
      <c r="L33" s="354"/>
      <c r="M33" s="354"/>
      <c r="N33" s="354"/>
      <c r="O33" s="354"/>
      <c r="P33" s="354"/>
      <c r="Q33" s="354"/>
      <c r="R33" s="354"/>
      <c r="S33" s="354"/>
    </row>
    <row r="34" spans="1:19" s="349" customFormat="1" ht="15" customHeight="1" x14ac:dyDescent="0.2">
      <c r="A34" s="105">
        <v>1998</v>
      </c>
      <c r="B34" s="348"/>
      <c r="C34" s="404"/>
      <c r="D34" s="404"/>
      <c r="E34" s="404"/>
      <c r="F34" s="404"/>
      <c r="G34" s="404"/>
      <c r="H34" s="404"/>
      <c r="I34" s="404"/>
      <c r="J34" s="407"/>
      <c r="L34" s="354"/>
      <c r="M34" s="354"/>
      <c r="N34" s="354"/>
      <c r="O34" s="354"/>
      <c r="P34" s="354"/>
      <c r="Q34" s="354"/>
      <c r="R34" s="354"/>
      <c r="S34" s="354"/>
    </row>
    <row r="35" spans="1:19" s="349" customFormat="1" ht="15" customHeight="1" x14ac:dyDescent="0.2">
      <c r="A35" s="300" t="s">
        <v>27</v>
      </c>
      <c r="B35" s="348"/>
      <c r="C35" s="404">
        <f>SUM(D35:J35)</f>
        <v>5.4927330783767223</v>
      </c>
      <c r="D35" s="404">
        <f>'[1]MKT_94(R)'!S$124</f>
        <v>1.296366539188361</v>
      </c>
      <c r="E35" s="404">
        <f>'[1]MKT_94(R)'!$S$147</f>
        <v>0</v>
      </c>
      <c r="F35" s="404">
        <f>'[1]MKT_94(R)'!$S$101</f>
        <v>0.66</v>
      </c>
      <c r="G35" s="404">
        <f>'[1]MKT_94(R)'!$S$124</f>
        <v>1.296366539188361</v>
      </c>
      <c r="H35" s="404">
        <f>'[1]MKT_94(R)'!$S$120</f>
        <v>1</v>
      </c>
      <c r="I35" s="404">
        <f>'[1]MKT_94(R)'!$S$141</f>
        <v>1.24</v>
      </c>
      <c r="J35" s="407">
        <f>'[1]MKT_94(R)'!$S$109</f>
        <v>0</v>
      </c>
      <c r="L35" s="354"/>
      <c r="M35" s="354"/>
      <c r="N35" s="354"/>
      <c r="O35" s="354"/>
      <c r="P35" s="354"/>
      <c r="Q35" s="354"/>
      <c r="R35" s="354"/>
      <c r="S35" s="354"/>
    </row>
    <row r="36" spans="1:19" s="349" customFormat="1" ht="15" customHeight="1" x14ac:dyDescent="0.2">
      <c r="A36" s="300" t="s">
        <v>28</v>
      </c>
      <c r="B36" s="348"/>
      <c r="C36" s="404">
        <f>SUM(D36:J36)</f>
        <v>5.2636150263357049</v>
      </c>
      <c r="D36" s="404">
        <f>'[1]MKT_94(R)'!T$124</f>
        <v>1.1918075131678525</v>
      </c>
      <c r="E36" s="404">
        <f>'[1]MKT_94(R)'!$T$147</f>
        <v>0</v>
      </c>
      <c r="F36" s="404">
        <f>'[1]MKT_94(R)'!$T$101</f>
        <v>0.56000000000000005</v>
      </c>
      <c r="G36" s="404">
        <f>'[1]MKT_94(R)'!$T$124</f>
        <v>1.1918075131678525</v>
      </c>
      <c r="H36" s="404">
        <f>'[1]MKT_94(R)'!$T$120</f>
        <v>1.57</v>
      </c>
      <c r="I36" s="404">
        <f>'[1]MKT_94(R)'!$T$141</f>
        <v>0.75</v>
      </c>
      <c r="J36" s="407">
        <f>'[1]MKT_94(R)'!$T$109</f>
        <v>0</v>
      </c>
      <c r="L36" s="354"/>
      <c r="M36" s="354"/>
      <c r="N36" s="354"/>
      <c r="O36" s="354"/>
      <c r="P36" s="354"/>
      <c r="Q36" s="354"/>
      <c r="R36" s="354"/>
      <c r="S36" s="354"/>
    </row>
    <row r="37" spans="1:19" s="349" customFormat="1" ht="15" customHeight="1" x14ac:dyDescent="0.2">
      <c r="A37" s="300" t="s">
        <v>29</v>
      </c>
      <c r="B37" s="348"/>
      <c r="C37" s="404">
        <f>SUM(D37:J37)</f>
        <v>6.44079213664196</v>
      </c>
      <c r="D37" s="404">
        <f>'[1]MKT_94(R)'!U$124</f>
        <v>1.4353960683209797</v>
      </c>
      <c r="E37" s="404">
        <f>'[1]MKT_94(R)'!$U$147</f>
        <v>0</v>
      </c>
      <c r="F37" s="404">
        <f>'[1]MKT_94(R)'!$U$101</f>
        <v>1.25</v>
      </c>
      <c r="G37" s="404">
        <f>'[1]MKT_94(R)'!$U$124</f>
        <v>1.4353960683209797</v>
      </c>
      <c r="H37" s="404">
        <f>'[1]MKT_94(R)'!$U$120</f>
        <v>1.49</v>
      </c>
      <c r="I37" s="404">
        <f>'[1]MKT_94(R)'!$U$141</f>
        <v>0.83</v>
      </c>
      <c r="J37" s="407">
        <f>'[1]MKT_94(R)'!$U$109</f>
        <v>0</v>
      </c>
      <c r="L37" s="354"/>
      <c r="M37" s="354"/>
      <c r="N37" s="354"/>
      <c r="O37" s="354"/>
      <c r="P37" s="354"/>
      <c r="Q37" s="354"/>
      <c r="R37" s="354"/>
      <c r="S37" s="354"/>
    </row>
    <row r="38" spans="1:19" s="349" customFormat="1" ht="15" customHeight="1" x14ac:dyDescent="0.2">
      <c r="A38" s="300" t="s">
        <v>30</v>
      </c>
      <c r="B38" s="348"/>
      <c r="C38" s="404">
        <f>SUM(D38:J38)</f>
        <v>6.313201753354865</v>
      </c>
      <c r="D38" s="404">
        <f>'[1]MKT_94(R)'!V$124</f>
        <v>1.5366008766774326</v>
      </c>
      <c r="E38" s="404">
        <f>'[1]MKT_94(R)'!$V$147</f>
        <v>0</v>
      </c>
      <c r="F38" s="404">
        <f>'[1]MKT_94(R)'!$V$101</f>
        <v>1.19</v>
      </c>
      <c r="G38" s="404">
        <f>'[1]MKT_94(R)'!$V$124</f>
        <v>1.5366008766774326</v>
      </c>
      <c r="H38" s="404">
        <f>'[1]MKT_94(R)'!$V$120</f>
        <v>1.1000000000000001</v>
      </c>
      <c r="I38" s="404">
        <f>'[1]MKT_94(R)'!$V$141</f>
        <v>0.95</v>
      </c>
      <c r="J38" s="407">
        <f>'[1]MKT_94(R)'!$V$109</f>
        <v>0</v>
      </c>
      <c r="L38" s="354"/>
      <c r="M38" s="354"/>
      <c r="N38" s="354"/>
      <c r="O38" s="354"/>
      <c r="P38" s="354"/>
      <c r="Q38" s="354"/>
      <c r="R38" s="354"/>
      <c r="S38" s="354"/>
    </row>
    <row r="39" spans="1:19" s="349" customFormat="1" ht="15" customHeight="1" x14ac:dyDescent="0.2">
      <c r="A39" s="105">
        <v>1999</v>
      </c>
      <c r="B39" s="348"/>
      <c r="C39" s="404"/>
      <c r="D39" s="404"/>
      <c r="E39" s="404"/>
      <c r="F39" s="404"/>
      <c r="G39" s="404"/>
      <c r="H39" s="404"/>
      <c r="I39" s="404"/>
      <c r="J39" s="407"/>
      <c r="L39" s="354"/>
      <c r="M39" s="354"/>
      <c r="N39" s="354"/>
      <c r="O39" s="354"/>
      <c r="P39" s="354"/>
      <c r="Q39" s="354"/>
      <c r="R39" s="354"/>
      <c r="S39" s="354"/>
    </row>
    <row r="40" spans="1:19" s="349" customFormat="1" ht="15" customHeight="1" x14ac:dyDescent="0.2">
      <c r="A40" s="300" t="s">
        <v>27</v>
      </c>
      <c r="B40" s="348"/>
      <c r="C40" s="404">
        <f>SUM(D40:J40)</f>
        <v>6.3918790645502943</v>
      </c>
      <c r="D40" s="404">
        <f>'[1]MKT_94(R)'!W$124</f>
        <v>1.6959395322751474</v>
      </c>
      <c r="E40" s="404">
        <f>'[1]MKT_94(R)'!$W$147</f>
        <v>0</v>
      </c>
      <c r="F40" s="404">
        <f>'[1]MKT_94(R)'!$W$101</f>
        <v>0.82</v>
      </c>
      <c r="G40" s="404">
        <f>'[1]MKT_94(R)'!$W$124</f>
        <v>1.6959395322751474</v>
      </c>
      <c r="H40" s="404">
        <f>'[1]MKT_94(R)'!$W$120</f>
        <v>1.34</v>
      </c>
      <c r="I40" s="404">
        <f>'[1]MKT_94(R)'!$W$141</f>
        <v>0.84</v>
      </c>
      <c r="J40" s="407">
        <f>'[1]MKT_94(R)'!$W$109</f>
        <v>0</v>
      </c>
      <c r="L40" s="354"/>
      <c r="M40" s="354"/>
      <c r="N40" s="354"/>
      <c r="O40" s="354"/>
      <c r="P40" s="354"/>
      <c r="Q40" s="354"/>
      <c r="R40" s="354"/>
      <c r="S40" s="354"/>
    </row>
    <row r="41" spans="1:19" s="349" customFormat="1" ht="15" customHeight="1" x14ac:dyDescent="0.2">
      <c r="A41" s="300" t="s">
        <v>28</v>
      </c>
      <c r="B41" s="348"/>
      <c r="C41" s="404">
        <f>SUM(D41:J41)</f>
        <v>6.3545158756849975</v>
      </c>
      <c r="D41" s="404">
        <f>'[1]MKT_94(R)'!X$124</f>
        <v>1.5722579378424992</v>
      </c>
      <c r="E41" s="404">
        <f>'[1]MKT_94(R)'!$X$147</f>
        <v>0</v>
      </c>
      <c r="F41" s="404">
        <f>'[1]MKT_94(R)'!$X$101</f>
        <v>0.94</v>
      </c>
      <c r="G41" s="404">
        <f>'[1]MKT_94(R)'!$X$124</f>
        <v>1.5722579378424992</v>
      </c>
      <c r="H41" s="404">
        <f>'[1]MKT_94(R)'!$X$120</f>
        <v>1.39</v>
      </c>
      <c r="I41" s="404">
        <f>'[1]MKT_94(R)'!$X$141</f>
        <v>0.88</v>
      </c>
      <c r="J41" s="407">
        <f>'[1]MKT_94(R)'!$X$109</f>
        <v>0</v>
      </c>
      <c r="L41" s="354"/>
      <c r="M41" s="354"/>
      <c r="N41" s="354"/>
      <c r="O41" s="354"/>
      <c r="P41" s="354"/>
      <c r="Q41" s="354"/>
      <c r="R41" s="354"/>
      <c r="S41" s="354"/>
    </row>
    <row r="42" spans="1:19" s="349" customFormat="1" ht="15" customHeight="1" x14ac:dyDescent="0.2">
      <c r="A42" s="300" t="s">
        <v>29</v>
      </c>
      <c r="B42" s="348"/>
      <c r="C42" s="404">
        <f>SUM(D42:J42)</f>
        <v>9.7890740647644456</v>
      </c>
      <c r="D42" s="404">
        <f>'[1]MKT_94(R)'!Y$124</f>
        <v>1.3445370323822226</v>
      </c>
      <c r="E42" s="404">
        <f>'[1]MKT_94(R)'!$Y$147</f>
        <v>0</v>
      </c>
      <c r="F42" s="404">
        <f>'[1]MKT_94(R)'!$Y$101</f>
        <v>1.01</v>
      </c>
      <c r="G42" s="404">
        <f>'[1]MKT_94(R)'!$Y$124</f>
        <v>1.3445370323822226</v>
      </c>
      <c r="H42" s="404">
        <f>'[1]MKT_94(R)'!$Y$120</f>
        <v>1.58</v>
      </c>
      <c r="I42" s="404">
        <f>'[1]MKT_94(R)'!$Y$141</f>
        <v>0.34</v>
      </c>
      <c r="J42" s="407">
        <f>'[1]MKT_94(R)'!$Y$109</f>
        <v>4.17</v>
      </c>
      <c r="L42" s="354"/>
      <c r="M42" s="354"/>
      <c r="N42" s="354"/>
      <c r="O42" s="354"/>
      <c r="P42" s="354"/>
      <c r="Q42" s="354"/>
      <c r="R42" s="354"/>
      <c r="S42" s="354"/>
    </row>
    <row r="43" spans="1:19" s="349" customFormat="1" ht="15" customHeight="1" x14ac:dyDescent="0.2">
      <c r="A43" s="300" t="s">
        <v>30</v>
      </c>
      <c r="B43" s="348"/>
      <c r="C43" s="404">
        <f>SUM(D43:J43)</f>
        <v>14.836638532173431</v>
      </c>
      <c r="D43" s="404">
        <f>'[1]MKT_94(R)'!Z$124</f>
        <v>1.4383192660867166</v>
      </c>
      <c r="E43" s="404">
        <f>'[1]MKT_94(R)'!$Z$147</f>
        <v>0</v>
      </c>
      <c r="F43" s="404">
        <f>'[1]MKT_94(R)'!$Z$101</f>
        <v>0.7</v>
      </c>
      <c r="G43" s="404">
        <f>'[1]MKT_94(R)'!$Z$124</f>
        <v>1.4383192660867166</v>
      </c>
      <c r="H43" s="404">
        <f>'[1]MKT_94(R)'!$Z$120</f>
        <v>2.61</v>
      </c>
      <c r="I43" s="404">
        <f>'[1]MKT_94(R)'!$Z$141</f>
        <v>0.46</v>
      </c>
      <c r="J43" s="407">
        <f>'[1]MKT_94(R)'!$Z$109</f>
        <v>8.19</v>
      </c>
      <c r="L43" s="354"/>
      <c r="M43" s="354"/>
      <c r="N43" s="354"/>
      <c r="O43" s="354"/>
      <c r="P43" s="354"/>
      <c r="Q43" s="354"/>
      <c r="R43" s="354"/>
      <c r="S43" s="354"/>
    </row>
    <row r="44" spans="1:19" s="349" customFormat="1" ht="15" customHeight="1" x14ac:dyDescent="0.2">
      <c r="A44" s="105">
        <v>2000</v>
      </c>
      <c r="B44" s="348"/>
      <c r="C44" s="404"/>
      <c r="D44" s="404"/>
      <c r="E44" s="404"/>
      <c r="F44" s="404"/>
      <c r="G44" s="404"/>
      <c r="H44" s="404"/>
      <c r="I44" s="404"/>
      <c r="J44" s="407"/>
      <c r="L44" s="354"/>
      <c r="M44" s="354"/>
      <c r="N44" s="354"/>
      <c r="O44" s="354"/>
      <c r="P44" s="354"/>
      <c r="Q44" s="354"/>
      <c r="R44" s="354"/>
      <c r="S44" s="354"/>
    </row>
    <row r="45" spans="1:19" s="349" customFormat="1" ht="15" customHeight="1" x14ac:dyDescent="0.2">
      <c r="A45" s="300" t="s">
        <v>27</v>
      </c>
      <c r="B45" s="348"/>
      <c r="C45" s="404">
        <f>SUM(D45:J45)</f>
        <v>13.963133497296141</v>
      </c>
      <c r="D45" s="404">
        <f>'[1]MKT_94(R)'!AA$124</f>
        <v>1.3315667486480705</v>
      </c>
      <c r="E45" s="404">
        <f>'[1]MKT_94(R)'!$AA$147</f>
        <v>0</v>
      </c>
      <c r="F45" s="404">
        <f>'[1]MKT_94(R)'!$AA$101</f>
        <v>0.6</v>
      </c>
      <c r="G45" s="404">
        <f>'[1]MKT_94(R)'!$AA$124</f>
        <v>1.3315667486480705</v>
      </c>
      <c r="H45" s="404">
        <f>'[1]MKT_94(R)'!$AA$120</f>
        <v>4.5599999999999996</v>
      </c>
      <c r="I45" s="404">
        <f>'[1]MKT_94(R)'!$AA$141</f>
        <v>2.0099999999999998</v>
      </c>
      <c r="J45" s="407">
        <f>'[1]MKT_94(R)'!$AA$109</f>
        <v>4.13</v>
      </c>
      <c r="L45" s="354"/>
      <c r="M45" s="354"/>
      <c r="N45" s="354"/>
      <c r="O45" s="354"/>
      <c r="P45" s="354"/>
      <c r="Q45" s="354"/>
      <c r="R45" s="354"/>
      <c r="S45" s="354"/>
    </row>
    <row r="46" spans="1:19" s="349" customFormat="1" ht="15" customHeight="1" x14ac:dyDescent="0.2">
      <c r="A46" s="300" t="s">
        <v>28</v>
      </c>
      <c r="B46" s="348"/>
      <c r="C46" s="404">
        <f>SUM(D46:J46)</f>
        <v>12.353084340972059</v>
      </c>
      <c r="D46" s="404">
        <f>'[1]MKT_94(R)'!AB$124</f>
        <v>1.626542170486029</v>
      </c>
      <c r="E46" s="404">
        <f>'[1]MKT_94(R)'!$AB$147</f>
        <v>0</v>
      </c>
      <c r="F46" s="404">
        <f>'[1]MKT_94(R)'!$AB$101</f>
        <v>0.59</v>
      </c>
      <c r="G46" s="404">
        <f>'[1]MKT_94(R)'!$AB$124</f>
        <v>1.626542170486029</v>
      </c>
      <c r="H46" s="404">
        <f>'[1]MKT_94(R)'!$AB$120</f>
        <v>1.71</v>
      </c>
      <c r="I46" s="404">
        <f>'[1]MKT_94(R)'!$AB$141</f>
        <v>1.57</v>
      </c>
      <c r="J46" s="407">
        <f>'[1]MKT_94(R)'!$AB$109</f>
        <v>5.23</v>
      </c>
      <c r="L46" s="354"/>
      <c r="M46" s="354"/>
      <c r="N46" s="354"/>
      <c r="O46" s="354"/>
      <c r="P46" s="354"/>
      <c r="Q46" s="354"/>
      <c r="R46" s="354"/>
      <c r="S46" s="354"/>
    </row>
    <row r="47" spans="1:19" s="349" customFormat="1" ht="15" customHeight="1" x14ac:dyDescent="0.2">
      <c r="A47" s="300" t="s">
        <v>29</v>
      </c>
      <c r="B47" s="348"/>
      <c r="C47" s="404">
        <f>SUM(D47:J47)</f>
        <v>14.158366336633664</v>
      </c>
      <c r="D47" s="404">
        <f>'[1]MKT_94(R)'!AC$124</f>
        <v>2.0291831683168318</v>
      </c>
      <c r="E47" s="404">
        <f>'[1]MKT_94(R)'!$AC$147</f>
        <v>0</v>
      </c>
      <c r="F47" s="404">
        <f>'[1]MKT_94(R)'!$AC$101</f>
        <v>0.71</v>
      </c>
      <c r="G47" s="404">
        <f>'[1]MKT_94(R)'!$AC$124</f>
        <v>2.0291831683168318</v>
      </c>
      <c r="H47" s="404">
        <f>'[1]MKT_94(R)'!$AC$120</f>
        <v>1.1599999999999999</v>
      </c>
      <c r="I47" s="404">
        <f>'[1]MKT_94(R)'!$AC$141</f>
        <v>0.66</v>
      </c>
      <c r="J47" s="407">
        <f>'[1]MKT_94(R)'!$AC$109</f>
        <v>7.57</v>
      </c>
      <c r="L47" s="354"/>
      <c r="M47" s="354"/>
      <c r="N47" s="354"/>
      <c r="O47" s="354"/>
      <c r="P47" s="354"/>
      <c r="Q47" s="354"/>
      <c r="R47" s="354"/>
      <c r="S47" s="354"/>
    </row>
    <row r="48" spans="1:19" s="349" customFormat="1" ht="15" customHeight="1" x14ac:dyDescent="0.2">
      <c r="A48" s="300" t="s">
        <v>30</v>
      </c>
      <c r="B48" s="348"/>
      <c r="C48" s="404">
        <f>SUM(D48:J48)</f>
        <v>20.783284153005464</v>
      </c>
      <c r="D48" s="404">
        <f>'[1]MKT_94(R)'!AD$124</f>
        <v>1.7216420765027323</v>
      </c>
      <c r="E48" s="404">
        <f>'[1]MKT_94(R)'!$AD$147</f>
        <v>0</v>
      </c>
      <c r="F48" s="404">
        <f>'[1]MKT_94(R)'!$AD$101</f>
        <v>0.8</v>
      </c>
      <c r="G48" s="404">
        <f>'[1]MKT_94(R)'!$AD$124</f>
        <v>1.7216420765027323</v>
      </c>
      <c r="H48" s="404">
        <f>'[1]MKT_94(R)'!$AD$120</f>
        <v>2.5499999999999998</v>
      </c>
      <c r="I48" s="404">
        <f>'[1]MKT_94(R)'!$AD$141</f>
        <v>0.68</v>
      </c>
      <c r="J48" s="407">
        <f>'[1]MKT_94(R)'!$AD$109</f>
        <v>13.31</v>
      </c>
      <c r="L48" s="354"/>
      <c r="M48" s="354"/>
      <c r="N48" s="354"/>
      <c r="O48" s="354"/>
      <c r="P48" s="354"/>
      <c r="Q48" s="354"/>
      <c r="R48" s="354"/>
      <c r="S48" s="354"/>
    </row>
    <row r="49" spans="1:24" s="349" customFormat="1" ht="15" customHeight="1" x14ac:dyDescent="0.2">
      <c r="A49" s="105">
        <v>2001</v>
      </c>
      <c r="B49" s="348"/>
      <c r="C49" s="404"/>
      <c r="D49" s="404"/>
      <c r="E49" s="404"/>
      <c r="F49" s="404"/>
      <c r="G49" s="404"/>
      <c r="H49" s="404"/>
      <c r="I49" s="404"/>
      <c r="J49" s="407"/>
      <c r="L49" s="354"/>
      <c r="M49" s="354"/>
      <c r="N49" s="354"/>
      <c r="O49" s="354"/>
      <c r="P49" s="354"/>
      <c r="Q49" s="354"/>
      <c r="R49" s="354"/>
      <c r="S49" s="354"/>
    </row>
    <row r="50" spans="1:24" s="349" customFormat="1" ht="15" customHeight="1" x14ac:dyDescent="0.2">
      <c r="A50" s="300" t="s">
        <v>27</v>
      </c>
      <c r="B50" s="348"/>
      <c r="C50" s="404">
        <f>SUM(D50:J50)</f>
        <v>7.8320894627399777</v>
      </c>
      <c r="D50" s="404">
        <f>'[1]MKT_94(R)'!AE$124</f>
        <v>1.641044731369989</v>
      </c>
      <c r="E50" s="404">
        <f>'[1]MKT_94(R)'!$AE$147</f>
        <v>0</v>
      </c>
      <c r="F50" s="404">
        <f>'[1]MKT_94(R)'!$AE$101</f>
        <v>0.48</v>
      </c>
      <c r="G50" s="404">
        <f>'[1]MKT_94(R)'!$AE$124</f>
        <v>1.641044731369989</v>
      </c>
      <c r="H50" s="404">
        <f>'[1]MKT_94(R)'!$AE$120</f>
        <v>1.06</v>
      </c>
      <c r="I50" s="404">
        <f>'[1]MKT_94(R)'!$AE$141</f>
        <v>0.28000000000000003</v>
      </c>
      <c r="J50" s="407">
        <f>'[1]MKT_94(R)'!$AE$109</f>
        <v>2.73</v>
      </c>
      <c r="L50" s="354"/>
      <c r="M50" s="354"/>
      <c r="N50" s="354"/>
      <c r="O50" s="354"/>
      <c r="P50" s="354"/>
      <c r="Q50" s="354"/>
      <c r="R50" s="354"/>
      <c r="S50" s="354"/>
    </row>
    <row r="51" spans="1:24" s="349" customFormat="1" ht="15" customHeight="1" x14ac:dyDescent="0.2">
      <c r="A51" s="300" t="s">
        <v>28</v>
      </c>
      <c r="B51" s="348"/>
      <c r="C51" s="404">
        <f>SUM(D51:J51)</f>
        <v>8.0088468609810519</v>
      </c>
      <c r="D51" s="404">
        <f>'[1]MKT_94(R)'!AF$124</f>
        <v>1.2494234304905256</v>
      </c>
      <c r="E51" s="404">
        <f>'[1]MKT_94(R)'!$AF$147</f>
        <v>0</v>
      </c>
      <c r="F51" s="404">
        <f>'[1]MKT_94(R)'!$AF$101</f>
        <v>0.89</v>
      </c>
      <c r="G51" s="404">
        <f>'[1]MKT_94(R)'!$AF$124</f>
        <v>1.2494234304905256</v>
      </c>
      <c r="H51" s="404">
        <f>'[1]MKT_94(R)'!$AF$120</f>
        <v>0.89</v>
      </c>
      <c r="I51" s="404">
        <f>'[1]MKT_94(R)'!$AF$141</f>
        <v>2.14</v>
      </c>
      <c r="J51" s="407">
        <f>'[1]MKT_94(R)'!$AF$109</f>
        <v>1.59</v>
      </c>
      <c r="L51" s="354"/>
      <c r="M51" s="354"/>
      <c r="N51" s="354"/>
      <c r="O51" s="354"/>
      <c r="P51" s="354"/>
      <c r="Q51" s="354"/>
      <c r="R51" s="354"/>
      <c r="S51" s="354"/>
    </row>
    <row r="52" spans="1:24" s="349" customFormat="1" ht="15" customHeight="1" x14ac:dyDescent="0.2">
      <c r="A52" s="300" t="s">
        <v>29</v>
      </c>
      <c r="B52" s="348"/>
      <c r="C52" s="404">
        <f>SUM(D52:J52)</f>
        <v>44.825597106802093</v>
      </c>
      <c r="D52" s="404">
        <f>'[1]MKT_94(R)'!AG$124</f>
        <v>1.1127985534010465</v>
      </c>
      <c r="E52" s="404">
        <f>'[1]MKT_94(R)'!$AG$147</f>
        <v>0</v>
      </c>
      <c r="F52" s="404">
        <f>'[1]MKT_94(R)'!$AG$101</f>
        <v>0.59</v>
      </c>
      <c r="G52" s="404">
        <f>'[1]MKT_94(R)'!$AG$124</f>
        <v>1.1127985534010465</v>
      </c>
      <c r="H52" s="404">
        <f>'[1]MKT_94(R)'!$AG$120</f>
        <v>1</v>
      </c>
      <c r="I52" s="404">
        <f>'[1]MKT_94(R)'!$AG$141</f>
        <v>1.01</v>
      </c>
      <c r="J52" s="407">
        <f>'[1]MKT_94(R)'!$AG$109</f>
        <v>40</v>
      </c>
      <c r="L52" s="354"/>
      <c r="M52" s="354"/>
      <c r="N52" s="354"/>
      <c r="O52" s="354"/>
      <c r="P52" s="354"/>
      <c r="Q52" s="354"/>
      <c r="R52" s="354"/>
      <c r="S52" s="354"/>
    </row>
    <row r="53" spans="1:24" s="349" customFormat="1" ht="15" customHeight="1" x14ac:dyDescent="0.2">
      <c r="A53" s="300" t="s">
        <v>30</v>
      </c>
      <c r="B53" s="348"/>
      <c r="C53" s="404">
        <f>SUM(D53:J53)</f>
        <v>12.134559896304335</v>
      </c>
      <c r="D53" s="404">
        <f>'[1]MKT_94(R)'!AH$124</f>
        <v>1.4272799481521674</v>
      </c>
      <c r="E53" s="404">
        <f>'[1]MKT_94(R)'!$AH$147</f>
        <v>0</v>
      </c>
      <c r="F53" s="404">
        <f>'[1]MKT_94(R)'!$AH$101</f>
        <v>0.54</v>
      </c>
      <c r="G53" s="404">
        <f>'[1]MKT_94(R)'!$AH$124</f>
        <v>1.4272799481521674</v>
      </c>
      <c r="H53" s="404">
        <f>'[1]MKT_94(R)'!$AH$120</f>
        <v>3.08</v>
      </c>
      <c r="I53" s="404">
        <f>'[1]MKT_94(R)'!$AH$141</f>
        <v>1.66</v>
      </c>
      <c r="J53" s="407">
        <f>'[1]MKT_94(R)'!$AH$109</f>
        <v>4</v>
      </c>
      <c r="L53" s="354"/>
      <c r="M53" s="354"/>
      <c r="N53" s="354"/>
      <c r="O53" s="354"/>
      <c r="P53" s="354"/>
      <c r="Q53" s="354"/>
      <c r="R53" s="354"/>
      <c r="S53" s="354"/>
    </row>
    <row r="54" spans="1:24" s="349" customFormat="1" ht="15" customHeight="1" x14ac:dyDescent="0.2">
      <c r="A54" s="105">
        <v>2002</v>
      </c>
      <c r="B54" s="348"/>
      <c r="C54" s="404"/>
      <c r="D54" s="404"/>
      <c r="E54" s="404"/>
      <c r="F54" s="404"/>
      <c r="G54" s="404"/>
      <c r="H54" s="404"/>
      <c r="I54" s="404"/>
      <c r="J54" s="407"/>
      <c r="L54" s="354"/>
      <c r="M54" s="354"/>
      <c r="N54" s="354"/>
      <c r="O54" s="354"/>
      <c r="P54" s="354"/>
      <c r="Q54" s="354"/>
      <c r="R54" s="354"/>
      <c r="S54" s="354"/>
    </row>
    <row r="55" spans="1:24" s="349" customFormat="1" ht="15" customHeight="1" x14ac:dyDescent="0.2">
      <c r="A55" s="506" t="s">
        <v>27</v>
      </c>
      <c r="B55" s="507"/>
      <c r="C55" s="500">
        <f>SUM(D55:J55)</f>
        <v>12.134559896304335</v>
      </c>
      <c r="D55" s="500">
        <f>'[1]MKT_94(R)'!AH$124</f>
        <v>1.4272799481521674</v>
      </c>
      <c r="E55" s="500">
        <f>'[1]MKT_94(R)'!$AH$147</f>
        <v>0</v>
      </c>
      <c r="F55" s="500">
        <f>'[1]MKT_94(R)'!$AH$101</f>
        <v>0.54</v>
      </c>
      <c r="G55" s="500">
        <f>'[1]MKT_94(R)'!$AH$124</f>
        <v>1.4272799481521674</v>
      </c>
      <c r="H55" s="500">
        <f>'[1]MKT_94(R)'!$AH$120</f>
        <v>3.08</v>
      </c>
      <c r="I55" s="500">
        <f>'[1]MKT_94(R)'!$AH$141</f>
        <v>1.66</v>
      </c>
      <c r="J55" s="478">
        <f>'[1]MKT_94(R)'!$AH$109</f>
        <v>4</v>
      </c>
      <c r="L55" s="354"/>
      <c r="M55" s="354"/>
      <c r="N55" s="354"/>
      <c r="O55" s="354"/>
      <c r="P55" s="354"/>
      <c r="Q55" s="354"/>
      <c r="R55" s="354"/>
      <c r="S55" s="354"/>
    </row>
    <row r="56" spans="1:24" s="91" customFormat="1" ht="15" customHeight="1" x14ac:dyDescent="0.2">
      <c r="A56" s="503" t="s">
        <v>50</v>
      </c>
      <c r="B56" s="504"/>
      <c r="C56" s="505"/>
      <c r="D56" s="94"/>
      <c r="E56" s="505"/>
      <c r="F56" s="505"/>
      <c r="G56" s="94"/>
      <c r="H56" s="94"/>
      <c r="I56" s="94"/>
      <c r="J56" s="94"/>
      <c r="K56" s="94"/>
    </row>
    <row r="57" spans="1:24" x14ac:dyDescent="0.2">
      <c r="A57" s="276" t="s">
        <v>35</v>
      </c>
      <c r="B57" s="232"/>
      <c r="C57" s="106"/>
    </row>
    <row r="58" spans="1:24" ht="12.75" customHeight="1" x14ac:dyDescent="0.2">
      <c r="A58"/>
      <c r="B58" s="233"/>
      <c r="C58" s="106"/>
    </row>
    <row r="59" spans="1:24" ht="15" customHeight="1" x14ac:dyDescent="0.2">
      <c r="A59" s="91"/>
      <c r="B59" s="106"/>
      <c r="C59" s="233" t="s">
        <v>2</v>
      </c>
    </row>
    <row r="61" spans="1:24" x14ac:dyDescent="0.2">
      <c r="D61" s="107"/>
      <c r="N61" s="107"/>
      <c r="X61" s="107"/>
    </row>
  </sheetData>
  <phoneticPr fontId="2" type="noConversion"/>
  <printOptions gridLinesSet="0"/>
  <pageMargins left="0.59055118110236204" right="1.19" top="0.59" bottom="2.4" header="0.5" footer="0.5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09" transitionEvaluation="1" codeName="Sheet11">
    <tabColor rgb="FF92D050"/>
    <pageSetUpPr fitToPage="1"/>
  </sheetPr>
  <dimension ref="A1:BD135"/>
  <sheetViews>
    <sheetView showGridLines="0" showOutlineSymbols="0" zoomScale="90" zoomScaleNormal="90" zoomScaleSheetLayoutView="130" workbookViewId="0">
      <pane xSplit="1" ySplit="6" topLeftCell="B109" activePane="bottomRight" state="frozen"/>
      <selection activeCell="F113" sqref="F113"/>
      <selection pane="topRight" activeCell="F113" sqref="F113"/>
      <selection pane="bottomLeft" activeCell="F113" sqref="F113"/>
      <selection pane="bottomRight" activeCell="L36" sqref="L36"/>
    </sheetView>
  </sheetViews>
  <sheetFormatPr defaultColWidth="14" defaultRowHeight="10.199999999999999" outlineLevelRow="1" x14ac:dyDescent="0.2"/>
  <cols>
    <col min="1" max="1" width="14.5" style="752" customWidth="1"/>
    <col min="2" max="2" width="12" style="750" customWidth="1"/>
    <col min="3" max="8" width="12.33203125" style="750" customWidth="1"/>
    <col min="9" max="9" width="14.6640625" style="750" bestFit="1" customWidth="1"/>
    <col min="10" max="10" width="14" style="751"/>
    <col min="11" max="45" width="14" style="750"/>
    <col min="46" max="46" width="1" style="750" customWidth="1"/>
    <col min="47" max="47" width="5.6640625" style="750" hidden="1" customWidth="1"/>
    <col min="48" max="48" width="4.33203125" style="750" hidden="1" customWidth="1"/>
    <col min="49" max="49" width="4.83203125" style="750" hidden="1" customWidth="1"/>
    <col min="50" max="50" width="4.1640625" style="750" hidden="1" customWidth="1"/>
    <col min="51" max="51" width="4" style="750" hidden="1" customWidth="1"/>
    <col min="52" max="52" width="4.33203125" style="750" hidden="1" customWidth="1"/>
    <col min="53" max="53" width="5" style="750" hidden="1" customWidth="1"/>
    <col min="54" max="54" width="5.33203125" style="750" hidden="1" customWidth="1"/>
    <col min="55" max="55" width="5.83203125" style="750" hidden="1" customWidth="1"/>
    <col min="56" max="56" width="4.6640625" style="750" hidden="1" customWidth="1"/>
    <col min="57" max="16384" width="14" style="750"/>
  </cols>
  <sheetData>
    <row r="1" spans="1:18" ht="20.100000000000001" customHeight="1" x14ac:dyDescent="0.2">
      <c r="A1" s="487" t="s">
        <v>299</v>
      </c>
    </row>
    <row r="2" spans="1:18" ht="19.5" customHeight="1" x14ac:dyDescent="0.25">
      <c r="B2" s="835" t="s">
        <v>64</v>
      </c>
      <c r="C2" s="835"/>
      <c r="D2" s="835"/>
      <c r="E2" s="835"/>
      <c r="F2" s="835"/>
      <c r="G2" s="835"/>
      <c r="H2" s="835"/>
      <c r="I2" s="835"/>
    </row>
    <row r="3" spans="1:18" ht="13.5" customHeight="1" x14ac:dyDescent="0.2">
      <c r="A3" s="737"/>
      <c r="B3" s="834" t="s">
        <v>162</v>
      </c>
      <c r="C3" s="834"/>
      <c r="D3" s="834"/>
      <c r="E3" s="834"/>
      <c r="F3" s="834"/>
      <c r="G3" s="834"/>
      <c r="H3" s="834"/>
      <c r="I3" s="834"/>
    </row>
    <row r="4" spans="1:18" ht="15" customHeight="1" x14ac:dyDescent="0.2">
      <c r="A4" s="737"/>
      <c r="B4" s="83"/>
      <c r="C4" s="83"/>
      <c r="D4" s="83"/>
      <c r="E4" s="83"/>
      <c r="F4" s="83"/>
      <c r="G4" s="83"/>
      <c r="H4" s="83"/>
      <c r="I4" s="83"/>
    </row>
    <row r="5" spans="1:18" ht="15" customHeight="1" x14ac:dyDescent="0.2">
      <c r="A5" s="738" t="s">
        <v>6</v>
      </c>
      <c r="B5" s="86" t="s">
        <v>39</v>
      </c>
      <c r="C5" s="86" t="s">
        <v>40</v>
      </c>
      <c r="D5" s="86" t="s">
        <v>41</v>
      </c>
      <c r="E5" s="86" t="s">
        <v>42</v>
      </c>
      <c r="F5" s="86" t="s">
        <v>43</v>
      </c>
      <c r="G5" s="86" t="s">
        <v>44</v>
      </c>
      <c r="H5" s="86" t="s">
        <v>45</v>
      </c>
      <c r="I5" s="87" t="s">
        <v>46</v>
      </c>
    </row>
    <row r="6" spans="1:18" ht="15" customHeight="1" x14ac:dyDescent="0.2">
      <c r="A6" s="753"/>
      <c r="B6" s="248"/>
      <c r="C6" s="249" t="s">
        <v>135</v>
      </c>
      <c r="D6" s="248"/>
      <c r="E6" s="248"/>
      <c r="F6" s="248"/>
      <c r="G6" s="249" t="s">
        <v>48</v>
      </c>
      <c r="H6" s="248"/>
      <c r="I6" s="250"/>
    </row>
    <row r="7" spans="1:18" ht="15" customHeight="1" x14ac:dyDescent="0.2">
      <c r="A7" s="723" t="s">
        <v>148</v>
      </c>
      <c r="B7" s="404">
        <f>D_AGRVA!B7/D_AGRVO!B6</f>
        <v>0.47182905632074018</v>
      </c>
      <c r="C7" s="404">
        <f>D_AGRVA!C7/D_AGRVO!C6</f>
        <v>0.58109422915217634</v>
      </c>
      <c r="D7" s="404">
        <f>D_AGRVA!D7/D_AGRVO!D6</f>
        <v>0.29818257998082587</v>
      </c>
      <c r="E7" s="404">
        <f>D_AGRVA!E7/D_AGRVO!E6</f>
        <v>0.64726890585241725</v>
      </c>
      <c r="F7" s="404">
        <f>D_AGRVA!F7/D_AGRVO!F6</f>
        <v>0.58564670100832961</v>
      </c>
      <c r="G7" s="404">
        <f>D_AGRVA!G7/D_AGRVO!G6</f>
        <v>0.8363811654415706</v>
      </c>
      <c r="H7" s="404">
        <f>D_AGRVA!H7/D_AGRVO!H6</f>
        <v>1.1887414991192717</v>
      </c>
      <c r="I7" s="407">
        <f>D_AGRVA!I7/D_AGRVO!I6</f>
        <v>2.286870997255261</v>
      </c>
    </row>
    <row r="8" spans="1:18" ht="13.95" customHeight="1" x14ac:dyDescent="0.2">
      <c r="A8" s="723" t="s">
        <v>149</v>
      </c>
      <c r="B8" s="404">
        <f>D_AGRVA!B8/D_AGRVO!B7</f>
        <v>0.65127938490141057</v>
      </c>
      <c r="C8" s="404">
        <f>D_AGRVA!C8/D_AGRVO!C7</f>
        <v>0.71423533494742197</v>
      </c>
      <c r="D8" s="404">
        <f>D_AGRVA!D8/D_AGRVO!D7</f>
        <v>0.20828597234672527</v>
      </c>
      <c r="E8" s="404">
        <f>D_AGRVA!E8/D_AGRVO!E7</f>
        <v>0.70333579517479072</v>
      </c>
      <c r="F8" s="404">
        <f>D_AGRVA!F8/D_AGRVO!F7</f>
        <v>0.91794201543762166</v>
      </c>
      <c r="G8" s="404">
        <f>D_AGRVA!G8/D_AGRVO!G7</f>
        <v>1.0556418000604071</v>
      </c>
      <c r="H8" s="404">
        <f>D_AGRVA!H8/D_AGRVO!H7</f>
        <v>1.5689957749712025</v>
      </c>
      <c r="I8" s="407">
        <f>D_AGRVA!I8/D_AGRVO!I7</f>
        <v>3.8927884615384611</v>
      </c>
      <c r="K8" s="754"/>
      <c r="L8" s="754"/>
      <c r="M8" s="754"/>
      <c r="N8" s="754"/>
      <c r="O8" s="754"/>
      <c r="P8" s="754"/>
      <c r="Q8" s="754"/>
      <c r="R8" s="754"/>
    </row>
    <row r="9" spans="1:18" ht="13.95" customHeight="1" x14ac:dyDescent="0.2">
      <c r="A9" s="723" t="s">
        <v>152</v>
      </c>
      <c r="B9" s="404">
        <f>D_AGRVA!B9/D_AGRVO!B8</f>
        <v>0.99193850293987629</v>
      </c>
      <c r="C9" s="404">
        <f>D_AGRVA!C9/D_AGRVO!C8</f>
        <v>0.76400158530141038</v>
      </c>
      <c r="D9" s="404">
        <f>D_AGRVA!D9/D_AGRVO!D8</f>
        <v>0.35529177557065689</v>
      </c>
      <c r="E9" s="404">
        <f>D_AGRVA!E9/D_AGRVO!E8</f>
        <v>0.95877686687210495</v>
      </c>
      <c r="F9" s="404">
        <f>D_AGRVA!F9/D_AGRVO!F8</f>
        <v>1.0032206224457718</v>
      </c>
      <c r="G9" s="404">
        <f>D_AGRVA!G9/D_AGRVO!G8</f>
        <v>1.0349319371727757</v>
      </c>
      <c r="H9" s="404">
        <f>D_AGRVA!H9/D_AGRVO!H8</f>
        <v>1.7944727453842055</v>
      </c>
      <c r="I9" s="407">
        <f>D_AGRVA!I9/D_AGRVO!I8</f>
        <v>5.8452653374233137</v>
      </c>
      <c r="K9" s="754"/>
      <c r="L9" s="754"/>
      <c r="M9" s="754"/>
      <c r="N9" s="754"/>
      <c r="O9" s="754"/>
      <c r="P9" s="754"/>
      <c r="Q9" s="754"/>
      <c r="R9" s="754"/>
    </row>
    <row r="10" spans="1:18" ht="13.95" customHeight="1" x14ac:dyDescent="0.2">
      <c r="A10" s="723" t="s">
        <v>153</v>
      </c>
      <c r="B10" s="404">
        <f>D_AGRVA!B10/D_AGRVO!B9</f>
        <v>1.1696805974762505</v>
      </c>
      <c r="C10" s="404">
        <f>D_AGRVA!C10/D_AGRVO!C9</f>
        <v>0.98031862368892309</v>
      </c>
      <c r="D10" s="404">
        <f>D_AGRVA!D10/D_AGRVO!D9</f>
        <v>0.45946431781412905</v>
      </c>
      <c r="E10" s="404">
        <f>D_AGRVA!E10/D_AGRVO!E9</f>
        <v>0.8967184614496766</v>
      </c>
      <c r="F10" s="404">
        <f>D_AGRVA!F10/D_AGRVO!F9</f>
        <v>0.94537945041816018</v>
      </c>
      <c r="G10" s="404">
        <f>D_AGRVA!G10/D_AGRVO!G9</f>
        <v>1.785907996832937</v>
      </c>
      <c r="H10" s="404">
        <f>D_AGRVA!H10/D_AGRVO!H9</f>
        <v>2.3471293499938959</v>
      </c>
      <c r="I10" s="407">
        <f>D_AGRVA!I10/D_AGRVO!I9</f>
        <v>9.9452310924369733</v>
      </c>
      <c r="K10" s="754"/>
      <c r="L10" s="754"/>
      <c r="M10" s="754"/>
      <c r="N10" s="754"/>
      <c r="O10" s="754"/>
      <c r="P10" s="754"/>
      <c r="Q10" s="754"/>
      <c r="R10" s="754"/>
    </row>
    <row r="11" spans="1:18" ht="13.95" customHeight="1" x14ac:dyDescent="0.2">
      <c r="A11" s="723" t="s">
        <v>154</v>
      </c>
      <c r="B11" s="404">
        <f>D_AGRVA!B11/D_AGRVO!B10</f>
        <v>1.00542322134002</v>
      </c>
      <c r="C11" s="404">
        <f>D_AGRVA!C11/D_AGRVO!C10</f>
        <v>0.88377816875441151</v>
      </c>
      <c r="D11" s="404">
        <f>D_AGRVA!D11/D_AGRVO!D10</f>
        <v>0.37461360036207281</v>
      </c>
      <c r="E11" s="404">
        <f>D_AGRVA!E11/D_AGRVO!E10</f>
        <v>0.75503438153682578</v>
      </c>
      <c r="F11" s="404">
        <f>D_AGRVA!F11/D_AGRVO!F10</f>
        <v>0.99781682597231369</v>
      </c>
      <c r="G11" s="404">
        <f>D_AGRVA!G11/D_AGRVO!G10</f>
        <v>0.96410286611700124</v>
      </c>
      <c r="H11" s="404">
        <f>D_AGRVA!H11/D_AGRVO!H10</f>
        <v>2.2463627419004131</v>
      </c>
      <c r="I11" s="407">
        <f>D_AGRVA!I11/D_AGRVO!I10</f>
        <v>11.228145161290321</v>
      </c>
      <c r="K11" s="755"/>
      <c r="L11" s="754"/>
      <c r="M11" s="754"/>
      <c r="N11" s="754"/>
      <c r="O11" s="754"/>
      <c r="P11" s="754"/>
      <c r="Q11" s="754"/>
      <c r="R11" s="754"/>
    </row>
    <row r="12" spans="1:18" ht="13.95" customHeight="1" x14ac:dyDescent="0.2">
      <c r="A12" s="723" t="s">
        <v>155</v>
      </c>
      <c r="B12" s="404">
        <f>D_AGRVA!B12/D_AGRVO!B11</f>
        <v>1.1434357714810601</v>
      </c>
      <c r="C12" s="404">
        <f>D_AGRVA!C12/D_AGRVO!C11</f>
        <v>1.0029033427597709</v>
      </c>
      <c r="D12" s="404">
        <f>D_AGRVA!D12/D_AGRVO!D11</f>
        <v>0.6362704565030145</v>
      </c>
      <c r="E12" s="404">
        <f>D_AGRVA!E12/D_AGRVO!E11</f>
        <v>0.92086435191996474</v>
      </c>
      <c r="F12" s="404">
        <f>D_AGRVA!F12/D_AGRVO!F11</f>
        <v>1.0572000194476856</v>
      </c>
      <c r="G12" s="404">
        <f>D_AGRVA!G12/D_AGRVO!G11</f>
        <v>1.4539288990825696</v>
      </c>
      <c r="H12" s="404">
        <f>D_AGRVA!H12/D_AGRVO!H11</f>
        <v>2.5290187790498178</v>
      </c>
      <c r="I12" s="407">
        <f>D_AGRVA!I12/D_AGRVO!I11</f>
        <v>11.369536723163842</v>
      </c>
      <c r="J12" s="756"/>
      <c r="K12" s="754"/>
      <c r="L12" s="754"/>
      <c r="M12" s="754"/>
      <c r="N12" s="754"/>
      <c r="O12" s="754"/>
      <c r="P12" s="754"/>
      <c r="Q12" s="754"/>
      <c r="R12" s="754"/>
    </row>
    <row r="13" spans="1:18" ht="13.95" customHeight="1" x14ac:dyDescent="0.2">
      <c r="A13" s="723" t="s">
        <v>156</v>
      </c>
      <c r="B13" s="404">
        <f>D_AGRVA!B13/D_AGRVO!B12</f>
        <v>1.2381911500110545</v>
      </c>
      <c r="C13" s="404">
        <f>D_AGRVA!C13/D_AGRVO!C12</f>
        <v>1.1739588207165452</v>
      </c>
      <c r="D13" s="404">
        <f>D_AGRVA!D13/D_AGRVO!D12</f>
        <v>0.57244911186977387</v>
      </c>
      <c r="E13" s="404">
        <f>D_AGRVA!E13/D_AGRVO!E12</f>
        <v>1.1778920274109976</v>
      </c>
      <c r="F13" s="404">
        <f>D_AGRVA!F13/D_AGRVO!F12</f>
        <v>1.2193344943942528</v>
      </c>
      <c r="G13" s="404">
        <f>D_AGRVA!G13/D_AGRVO!G12</f>
        <v>2.1656839048672563</v>
      </c>
      <c r="H13" s="404">
        <f>D_AGRVA!H13/D_AGRVO!H12</f>
        <v>1.7237460783825507</v>
      </c>
      <c r="I13" s="407">
        <f>D_AGRVA!I13/D_AGRVO!I12</f>
        <v>2.707553125</v>
      </c>
      <c r="K13" s="755"/>
      <c r="L13" s="754"/>
      <c r="M13" s="754"/>
      <c r="N13" s="754"/>
      <c r="O13" s="754"/>
      <c r="P13" s="754"/>
      <c r="Q13" s="754"/>
      <c r="R13" s="754"/>
    </row>
    <row r="14" spans="1:18" ht="13.95" customHeight="1" x14ac:dyDescent="0.2">
      <c r="A14" s="723" t="s">
        <v>157</v>
      </c>
      <c r="B14" s="404">
        <f>D_AGRVA!B14/D_AGRVO!B13</f>
        <v>1.0108741200538329</v>
      </c>
      <c r="C14" s="404">
        <f>D_AGRVA!C14/D_AGRVO!C13</f>
        <v>1.0062345521541951</v>
      </c>
      <c r="D14" s="404">
        <f>D_AGRVA!D14/D_AGRVO!D13</f>
        <v>0.4330526246661705</v>
      </c>
      <c r="E14" s="404">
        <f>D_AGRVA!E14/D_AGRVO!E13</f>
        <v>0.81716264613629863</v>
      </c>
      <c r="F14" s="404">
        <f>D_AGRVA!F14/D_AGRVO!F13</f>
        <v>1.044646956589917</v>
      </c>
      <c r="G14" s="404">
        <f>D_AGRVA!G14/D_AGRVO!G13</f>
        <v>2.1766203680363079</v>
      </c>
      <c r="H14" s="404">
        <f>D_AGRVA!H14/D_AGRVO!H13</f>
        <v>2.9042806140664048</v>
      </c>
      <c r="I14" s="407">
        <f>D_AGRVA!I14/D_AGRVO!I13</f>
        <v>10.597342857142857</v>
      </c>
      <c r="K14" s="754"/>
      <c r="L14" s="754"/>
      <c r="M14" s="754"/>
      <c r="N14" s="754"/>
      <c r="O14" s="754"/>
      <c r="P14" s="754"/>
      <c r="Q14" s="754"/>
      <c r="R14" s="754"/>
    </row>
    <row r="15" spans="1:18" ht="13.95" customHeight="1" x14ac:dyDescent="0.2">
      <c r="A15" s="723" t="s">
        <v>158</v>
      </c>
      <c r="B15" s="404">
        <f>D_AGRVA!B15/D_AGRVO!B14</f>
        <v>1.3018365936208127</v>
      </c>
      <c r="C15" s="404">
        <f>D_AGRVA!C15/D_AGRVO!C14</f>
        <v>0.94759212124718006</v>
      </c>
      <c r="D15" s="404">
        <f>D_AGRVA!D15/D_AGRVO!D14</f>
        <v>0.58168432601880882</v>
      </c>
      <c r="E15" s="404">
        <f>D_AGRVA!E15/D_AGRVO!E14</f>
        <v>0.95543121841661993</v>
      </c>
      <c r="F15" s="404">
        <f>D_AGRVA!F15/D_AGRVO!F14</f>
        <v>1.0454609088667925</v>
      </c>
      <c r="G15" s="404">
        <f>D_AGRVA!G15/D_AGRVO!G14</f>
        <v>3.1459204293116199</v>
      </c>
      <c r="H15" s="404">
        <f>D_AGRVA!H15/D_AGRVO!H14</f>
        <v>4.2214263054142034</v>
      </c>
      <c r="I15" s="407">
        <f>D_AGRVA!I15/D_AGRVO!I14</f>
        <v>20.824081081081083</v>
      </c>
      <c r="K15" s="754"/>
      <c r="L15" s="754"/>
      <c r="M15" s="754"/>
      <c r="N15" s="754"/>
      <c r="O15" s="754"/>
      <c r="P15" s="754"/>
      <c r="Q15" s="754"/>
      <c r="R15" s="754"/>
    </row>
    <row r="16" spans="1:18" ht="13.95" customHeight="1" outlineLevel="1" x14ac:dyDescent="0.2">
      <c r="A16" s="723" t="s">
        <v>159</v>
      </c>
      <c r="B16" s="404">
        <f>D_AGRVA!B16/D_AGRVO!B15</f>
        <v>1.6066235745013213</v>
      </c>
      <c r="C16" s="404">
        <f>D_AGRVA!C16/D_AGRVO!C15</f>
        <v>1.5433019333423046</v>
      </c>
      <c r="D16" s="404">
        <f>D_AGRVA!D16/D_AGRVO!D15</f>
        <v>0.69647784974541926</v>
      </c>
      <c r="E16" s="404">
        <f>D_AGRVA!E16/D_AGRVO!E15</f>
        <v>1.5696843338741664</v>
      </c>
      <c r="F16" s="404">
        <f>D_AGRVA!F16/D_AGRVO!F15</f>
        <v>1.1089188320167134</v>
      </c>
      <c r="G16" s="404">
        <f>D_AGRVA!G16/D_AGRVO!G15</f>
        <v>6.6823909273881439</v>
      </c>
      <c r="H16" s="404">
        <f>D_AGRVA!H16/D_AGRVO!H15</f>
        <v>3.3853006593540154</v>
      </c>
      <c r="I16" s="407">
        <f>D_AGRVA!I16/D_AGRVO!I15</f>
        <v>20.759406639004148</v>
      </c>
      <c r="K16" s="644"/>
      <c r="L16" s="644"/>
      <c r="M16" s="644"/>
      <c r="N16" s="644"/>
      <c r="O16" s="644"/>
      <c r="P16" s="644"/>
      <c r="Q16" s="644"/>
      <c r="R16" s="644"/>
    </row>
    <row r="17" spans="1:18" ht="13.95" customHeight="1" outlineLevel="1" x14ac:dyDescent="0.2">
      <c r="A17" s="723" t="s">
        <v>160</v>
      </c>
      <c r="B17" s="404">
        <f>D_AGRVA!B17/D_AGRVO!B16</f>
        <v>1.3825498009047323</v>
      </c>
      <c r="C17" s="404">
        <f>D_AGRVA!C17/D_AGRVO!C16</f>
        <v>1.0527596285632324</v>
      </c>
      <c r="D17" s="404">
        <f>D_AGRVA!D17/D_AGRVO!D16</f>
        <v>0.58402000056739201</v>
      </c>
      <c r="E17" s="404">
        <f>D_AGRVA!E17/D_AGRVO!E16</f>
        <v>1.5514100156494521</v>
      </c>
      <c r="F17" s="404">
        <f>D_AGRVA!F17/D_AGRVO!F16</f>
        <v>1.1583311000966103</v>
      </c>
      <c r="G17" s="404">
        <f>D_AGRVA!G17/D_AGRVO!G16</f>
        <v>2.7709072033898323</v>
      </c>
      <c r="H17" s="404">
        <f>D_AGRVA!H17/D_AGRVO!H16</f>
        <v>3.112653063174998</v>
      </c>
      <c r="I17" s="407">
        <f>D_AGRVA!I17/D_AGRVO!I16</f>
        <v>17.344328859060401</v>
      </c>
      <c r="K17" s="754"/>
      <c r="L17" s="754"/>
      <c r="M17" s="754"/>
      <c r="N17" s="754"/>
      <c r="O17" s="754"/>
      <c r="P17" s="754"/>
      <c r="Q17" s="754"/>
      <c r="R17" s="754"/>
    </row>
    <row r="18" spans="1:18" ht="13.95" customHeight="1" outlineLevel="1" x14ac:dyDescent="0.2">
      <c r="A18" s="723" t="s">
        <v>161</v>
      </c>
      <c r="B18" s="404">
        <f>D_AGRVA!B18/D_AGRVO!B17</f>
        <v>1.1744823996676377</v>
      </c>
      <c r="C18" s="404">
        <f>D_AGRVA!C18/D_AGRVO!C17</f>
        <v>0.86257038829640587</v>
      </c>
      <c r="D18" s="404">
        <f>D_AGRVA!D18/D_AGRVO!D17</f>
        <v>0.50117992033048098</v>
      </c>
      <c r="E18" s="404">
        <f>D_AGRVA!E18/D_AGRVO!E17</f>
        <v>1.0229625158831004</v>
      </c>
      <c r="F18" s="404">
        <f>D_AGRVA!F18/D_AGRVO!F17</f>
        <v>1.0463710581269328</v>
      </c>
      <c r="G18" s="404">
        <f>D_AGRVA!G18/D_AGRVO!G17</f>
        <v>2.6557008332023258</v>
      </c>
      <c r="H18" s="404">
        <f>D_AGRVA!H18/D_AGRVO!H17</f>
        <v>3.0278814756767511</v>
      </c>
      <c r="I18" s="407">
        <f>D_AGRVA!I18/D_AGRVO!I17</f>
        <v>13.667045387994142</v>
      </c>
      <c r="K18" s="754"/>
      <c r="L18" s="754"/>
      <c r="M18" s="754"/>
      <c r="N18" s="754"/>
      <c r="O18" s="754"/>
      <c r="P18" s="754"/>
      <c r="Q18" s="754"/>
      <c r="R18" s="754"/>
    </row>
    <row r="19" spans="1:18" ht="13.95" customHeight="1" outlineLevel="1" x14ac:dyDescent="0.2">
      <c r="A19" s="723" t="s">
        <v>163</v>
      </c>
      <c r="B19" s="404">
        <f>D_AGRVA!B19/D_AGRVO!B18</f>
        <v>1.1551172507965408</v>
      </c>
      <c r="C19" s="404">
        <f>D_AGRVA!C19/D_AGRVO!C18</f>
        <v>0.9844871292764843</v>
      </c>
      <c r="D19" s="404">
        <f>D_AGRVA!D19/D_AGRVO!D18</f>
        <v>0.50124983723565852</v>
      </c>
      <c r="E19" s="404">
        <f>D_AGRVA!E19/D_AGRVO!E18</f>
        <v>1.074086642221058</v>
      </c>
      <c r="F19" s="404">
        <f>D_AGRVA!F19/D_AGRVO!F18</f>
        <v>1.1810377425545524</v>
      </c>
      <c r="G19" s="404">
        <f>D_AGRVA!G19/D_AGRVO!G18</f>
        <v>2.1128347854146492</v>
      </c>
      <c r="H19" s="404">
        <f>D_AGRVA!H19/D_AGRVO!H18</f>
        <v>2.785686907632877</v>
      </c>
      <c r="I19" s="407">
        <f>D_AGRVA!I19/D_AGRVO!I18</f>
        <v>17.245961685823755</v>
      </c>
      <c r="K19" s="754"/>
      <c r="L19" s="754"/>
      <c r="M19" s="754"/>
      <c r="N19" s="754"/>
      <c r="O19" s="754"/>
      <c r="P19" s="754"/>
      <c r="Q19" s="754"/>
      <c r="R19" s="754"/>
    </row>
    <row r="20" spans="1:18" ht="13.95" customHeight="1" outlineLevel="1" x14ac:dyDescent="0.2">
      <c r="A20" s="723" t="s">
        <v>164</v>
      </c>
      <c r="B20" s="404">
        <f>D_AGRVA!B20/D_AGRVO!B19</f>
        <v>1.1941867512097446</v>
      </c>
      <c r="C20" s="404">
        <f>D_AGRVA!C20/D_AGRVO!C19</f>
        <v>1.1490489214653195</v>
      </c>
      <c r="D20" s="404">
        <f>D_AGRVA!D20/D_AGRVO!D19</f>
        <v>0.44005014125729147</v>
      </c>
      <c r="E20" s="404">
        <f>D_AGRVA!E20/D_AGRVO!E19</f>
        <v>1.2029340258054046</v>
      </c>
      <c r="F20" s="404">
        <f>D_AGRVA!F20/D_AGRVO!F19</f>
        <v>1.198398305462157</v>
      </c>
      <c r="G20" s="404">
        <f>D_AGRVA!G20/D_AGRVO!G19</f>
        <v>1.8615184523928936</v>
      </c>
      <c r="H20" s="404">
        <f>D_AGRVA!H20/D_AGRVO!H19</f>
        <v>2.2960991442903511</v>
      </c>
      <c r="I20" s="407">
        <f>D_AGRVA!I20/D_AGRVO!I19</f>
        <v>18.383779761904762</v>
      </c>
      <c r="K20" s="754"/>
      <c r="L20" s="754"/>
      <c r="M20" s="754"/>
      <c r="N20" s="754"/>
      <c r="O20" s="754"/>
      <c r="P20" s="754"/>
      <c r="Q20" s="754"/>
      <c r="R20" s="754"/>
    </row>
    <row r="21" spans="1:18" ht="13.95" customHeight="1" outlineLevel="1" x14ac:dyDescent="0.2">
      <c r="A21" s="722" t="s">
        <v>166</v>
      </c>
      <c r="B21" s="404">
        <f>D_AGRVA!B21/D_AGRVO!B20</f>
        <v>1.436861624842708</v>
      </c>
      <c r="C21" s="404">
        <f>D_AGRVA!C21/D_AGRVO!C20</f>
        <v>1.2576744720637454</v>
      </c>
      <c r="D21" s="404">
        <f>D_AGRVA!D21/D_AGRVO!D20</f>
        <v>0.52523726226529377</v>
      </c>
      <c r="E21" s="404">
        <f>D_AGRVA!E21/D_AGRVO!E20</f>
        <v>1.078055985746591</v>
      </c>
      <c r="F21" s="404">
        <f>D_AGRVA!F21/D_AGRVO!F20</f>
        <v>1.7927131541554553</v>
      </c>
      <c r="G21" s="404">
        <f>D_AGRVA!G21/D_AGRVO!G20</f>
        <v>2.5806640111340435</v>
      </c>
      <c r="H21" s="404">
        <f>D_AGRVA!H21/D_AGRVO!H20</f>
        <v>2.6257430814239378</v>
      </c>
      <c r="I21" s="407">
        <f>D_AGRVA!I21/D_AGRVO!I20</f>
        <v>19.104895454545453</v>
      </c>
      <c r="K21" s="644"/>
      <c r="L21" s="644"/>
      <c r="M21" s="644"/>
      <c r="N21" s="644"/>
      <c r="O21" s="644"/>
      <c r="P21" s="644"/>
      <c r="Q21" s="644"/>
      <c r="R21" s="644"/>
    </row>
    <row r="22" spans="1:18" ht="13.95" customHeight="1" outlineLevel="1" x14ac:dyDescent="0.2">
      <c r="A22" s="722" t="s">
        <v>168</v>
      </c>
      <c r="B22" s="404">
        <f>D_AGRVA!B22/D_AGRVO!B21</f>
        <v>1.8388886741612738</v>
      </c>
      <c r="C22" s="404">
        <f>D_AGRVA!C22/D_AGRVO!C21</f>
        <v>1.8860102064427859</v>
      </c>
      <c r="D22" s="404">
        <f>D_AGRVA!D22/D_AGRVO!D21</f>
        <v>0.74036581031485404</v>
      </c>
      <c r="E22" s="404">
        <f>D_AGRVA!E22/D_AGRVO!E21</f>
        <v>1.4043463546702766</v>
      </c>
      <c r="F22" s="404">
        <f>D_AGRVA!F22/D_AGRVO!F21</f>
        <v>1.8257411647281689</v>
      </c>
      <c r="G22" s="404">
        <f>D_AGRVA!G22/D_AGRVO!G21</f>
        <v>2.6897029875615157</v>
      </c>
      <c r="H22" s="404">
        <f>D_AGRVA!H22/D_AGRVO!H21</f>
        <v>2.1907712006432112</v>
      </c>
      <c r="I22" s="407">
        <f>D_AGRVA!I22/D_AGRVO!I21</f>
        <v>19.459869969040245</v>
      </c>
      <c r="K22" s="754"/>
      <c r="L22" s="754"/>
      <c r="M22" s="754"/>
      <c r="N22" s="754"/>
      <c r="O22" s="754"/>
      <c r="P22" s="754"/>
      <c r="Q22" s="754"/>
      <c r="R22" s="754"/>
    </row>
    <row r="23" spans="1:18" ht="13.95" customHeight="1" outlineLevel="1" x14ac:dyDescent="0.2">
      <c r="A23" s="722" t="s">
        <v>173</v>
      </c>
      <c r="B23" s="404">
        <f>D_AGRVA!B23/D_AGRVO!B22</f>
        <v>1.9087020549324485</v>
      </c>
      <c r="C23" s="404">
        <f>D_AGRVA!C23/D_AGRVO!C22</f>
        <v>1.9084264778377158</v>
      </c>
      <c r="D23" s="404">
        <f>D_AGRVA!D23/D_AGRVO!D22</f>
        <v>1.1392786677481495</v>
      </c>
      <c r="E23" s="404">
        <f>D_AGRVA!E23/D_AGRVO!E22</f>
        <v>1.2834529616724739</v>
      </c>
      <c r="F23" s="404">
        <f>D_AGRVA!F23/D_AGRVO!F22</f>
        <v>1.433559759373463</v>
      </c>
      <c r="G23" s="404">
        <f>D_AGRVA!G23/D_AGRVO!G22</f>
        <v>2.8128577324229034</v>
      </c>
      <c r="H23" s="404">
        <f>D_AGRVA!H23/D_AGRVO!H22</f>
        <v>3.0567476500518587</v>
      </c>
      <c r="I23" s="407">
        <f>D_AGRVA!I23/D_AGRVO!I22</f>
        <v>27.016685714285714</v>
      </c>
      <c r="K23" s="754"/>
      <c r="L23" s="754"/>
      <c r="M23" s="754"/>
      <c r="N23" s="754"/>
      <c r="O23" s="754"/>
      <c r="P23" s="754"/>
      <c r="Q23" s="754"/>
      <c r="R23" s="754"/>
    </row>
    <row r="24" spans="1:18" ht="13.95" customHeight="1" outlineLevel="1" x14ac:dyDescent="0.2">
      <c r="A24" s="722" t="s">
        <v>174</v>
      </c>
      <c r="B24" s="404">
        <f>D_AGRVA!B24/D_AGRVO!B23</f>
        <v>1.9452965942036695</v>
      </c>
      <c r="C24" s="404">
        <f>D_AGRVA!C24/D_AGRVO!C23</f>
        <v>1.929367797488023</v>
      </c>
      <c r="D24" s="404">
        <f>D_AGRVA!D24/D_AGRVO!D23</f>
        <v>1.1175935059988575</v>
      </c>
      <c r="E24" s="404">
        <f>D_AGRVA!E24/D_AGRVO!E23</f>
        <v>1.46842296432831</v>
      </c>
      <c r="F24" s="404">
        <f>D_AGRVA!F24/D_AGRVO!F23</f>
        <v>1.6901811694422266</v>
      </c>
      <c r="G24" s="404">
        <f>D_AGRVA!G24/D_AGRVO!G23</f>
        <v>2.5785679561573156</v>
      </c>
      <c r="H24" s="404">
        <f>D_AGRVA!H24/D_AGRVO!H23</f>
        <v>3.2977179663630953</v>
      </c>
      <c r="I24" s="407">
        <f>D_AGRVA!I24/D_AGRVO!I23</f>
        <v>17.647671669793624</v>
      </c>
      <c r="K24" s="754"/>
      <c r="L24" s="754"/>
      <c r="M24" s="754"/>
      <c r="N24" s="754"/>
      <c r="O24" s="754"/>
      <c r="P24" s="754"/>
      <c r="Q24" s="754"/>
      <c r="R24" s="754"/>
    </row>
    <row r="25" spans="1:18" s="759" customFormat="1" ht="13.95" customHeight="1" outlineLevel="1" x14ac:dyDescent="0.2">
      <c r="A25" s="722" t="s">
        <v>187</v>
      </c>
      <c r="B25" s="404">
        <f>D_AGRVA!B25/D_AGRVO!B24</f>
        <v>2.732694053726759</v>
      </c>
      <c r="C25" s="404">
        <f>D_AGRVA!C25/D_AGRVO!C24</f>
        <v>3.0330669704233166</v>
      </c>
      <c r="D25" s="404">
        <f>D_AGRVA!D25/D_AGRVO!D24</f>
        <v>1.6379396173774412</v>
      </c>
      <c r="E25" s="404">
        <f>D_AGRVA!E25/D_AGRVO!E24</f>
        <v>1.7893822085248641</v>
      </c>
      <c r="F25" s="404">
        <f>D_AGRVA!F25/D_AGRVO!F24</f>
        <v>1.9261142489100278</v>
      </c>
      <c r="G25" s="404">
        <f>D_AGRVA!G25/D_AGRVO!G24</f>
        <v>4.4654234269885142</v>
      </c>
      <c r="H25" s="404">
        <f>D_AGRVA!H25/D_AGRVO!H24</f>
        <v>4.5499326719147746</v>
      </c>
      <c r="I25" s="407">
        <f>D_AGRVA!I25/D_AGRVO!I24</f>
        <v>26.317421602787459</v>
      </c>
      <c r="J25" s="757"/>
      <c r="K25" s="758"/>
      <c r="L25" s="758"/>
      <c r="M25" s="758"/>
      <c r="N25" s="758"/>
      <c r="O25" s="758"/>
      <c r="P25" s="758"/>
      <c r="Q25" s="758"/>
      <c r="R25" s="758"/>
    </row>
    <row r="26" spans="1:18" ht="13.95" customHeight="1" outlineLevel="1" x14ac:dyDescent="0.2">
      <c r="A26" s="722" t="s">
        <v>188</v>
      </c>
      <c r="B26" s="404">
        <f>D_AGRVA!B26/D_AGRVO!B25</f>
        <v>3.0052457630973577</v>
      </c>
      <c r="C26" s="404">
        <f>D_AGRVA!C26/D_AGRVO!C25</f>
        <v>5.0023014823211751</v>
      </c>
      <c r="D26" s="404">
        <f>D_AGRVA!D26/D_AGRVO!D25</f>
        <v>0.63426328205128191</v>
      </c>
      <c r="E26" s="404">
        <f>D_AGRVA!E26/D_AGRVO!E25</f>
        <v>1.7058546897205118</v>
      </c>
      <c r="F26" s="404">
        <f>D_AGRVA!F26/D_AGRVO!F25</f>
        <v>1.0878441038311131</v>
      </c>
      <c r="G26" s="404">
        <f>D_AGRVA!G26/D_AGRVO!G25</f>
        <v>2.7479656669297592</v>
      </c>
      <c r="H26" s="404">
        <f>D_AGRVA!H26/D_AGRVO!H25</f>
        <v>4.2598025701454043</v>
      </c>
      <c r="I26" s="407">
        <f>D_AGRVA!I26/D_AGRVO!I25</f>
        <v>28.57344252873563</v>
      </c>
      <c r="K26" s="644"/>
      <c r="L26" s="644"/>
      <c r="M26" s="644"/>
      <c r="N26" s="644"/>
      <c r="O26" s="644"/>
      <c r="P26" s="644"/>
      <c r="Q26" s="644"/>
      <c r="R26" s="644"/>
    </row>
    <row r="27" spans="1:18" ht="13.95" customHeight="1" outlineLevel="1" x14ac:dyDescent="0.2">
      <c r="A27" s="722" t="s">
        <v>189</v>
      </c>
      <c r="B27" s="404">
        <f>D_AGRVA!B27/D_AGRVO!B26</f>
        <v>1.4746807128194523</v>
      </c>
      <c r="C27" s="404">
        <f>D_AGRVA!C27/D_AGRVO!C26</f>
        <v>2.0179053177156367</v>
      </c>
      <c r="D27" s="404">
        <f>D_AGRVA!D27/D_AGRVO!D26</f>
        <v>1.3188053819213548</v>
      </c>
      <c r="E27" s="404">
        <f>D_AGRVA!E27/D_AGRVO!E26</f>
        <v>1.5365501951046472</v>
      </c>
      <c r="F27" s="404">
        <f>D_AGRVA!F27/D_AGRVO!F26</f>
        <v>1.1878815401779328</v>
      </c>
      <c r="G27" s="404">
        <f>D_AGRVA!G27/D_AGRVO!G26</f>
        <v>2.4482745828099786</v>
      </c>
      <c r="H27" s="404">
        <f>D_AGRVA!H27/D_AGRVO!H26</f>
        <v>1.0473692911052319</v>
      </c>
      <c r="I27" s="407">
        <f>D_AGRVA!I27/D_AGRVO!I26</f>
        <v>0.44062369673617408</v>
      </c>
      <c r="K27" s="754"/>
      <c r="L27" s="754"/>
      <c r="M27" s="754"/>
      <c r="N27" s="754"/>
      <c r="O27" s="754"/>
      <c r="P27" s="754"/>
      <c r="Q27" s="754"/>
      <c r="R27" s="754"/>
    </row>
    <row r="28" spans="1:18" s="759" customFormat="1" ht="13.95" customHeight="1" outlineLevel="1" x14ac:dyDescent="0.2">
      <c r="A28" s="722" t="s">
        <v>190</v>
      </c>
      <c r="B28" s="404">
        <f>D_AGRVA!B28/D_AGRVO!B27</f>
        <v>1.8414636824699111</v>
      </c>
      <c r="C28" s="404">
        <f>D_AGRVA!C28/D_AGRVO!C27</f>
        <v>2.2300930608424334</v>
      </c>
      <c r="D28" s="404">
        <f>D_AGRVA!D28/D_AGRVO!D27</f>
        <v>1.401111117121991</v>
      </c>
      <c r="E28" s="404">
        <f>D_AGRVA!E28/D_AGRVO!E27</f>
        <v>1.8007515989766549</v>
      </c>
      <c r="F28" s="404">
        <f>D_AGRVA!F28/D_AGRVO!F27</f>
        <v>1.456984623463577</v>
      </c>
      <c r="G28" s="404">
        <f>D_AGRVA!G28/D_AGRVO!G27</f>
        <v>2.4728601252609628</v>
      </c>
      <c r="H28" s="404">
        <f>D_AGRVA!H28/D_AGRVO!H27</f>
        <v>1.7737743788566009</v>
      </c>
      <c r="I28" s="407">
        <f>D_AGRVA!I28/D_AGRVO!I27</f>
        <v>0.96235521145601799</v>
      </c>
      <c r="J28" s="757"/>
      <c r="K28" s="758"/>
      <c r="L28" s="758"/>
      <c r="M28" s="758"/>
      <c r="N28" s="758"/>
      <c r="O28" s="758"/>
      <c r="P28" s="758"/>
      <c r="Q28" s="758"/>
      <c r="R28" s="758"/>
    </row>
    <row r="29" spans="1:18" s="759" customFormat="1" ht="13.95" customHeight="1" outlineLevel="1" x14ac:dyDescent="0.2">
      <c r="A29" s="722" t="s">
        <v>285</v>
      </c>
      <c r="B29" s="404">
        <f>D_AGRVA!B29/D_AGRVO!B28</f>
        <v>1.6874418293775355</v>
      </c>
      <c r="C29" s="404">
        <f>D_AGRVA!C29/D_AGRVO!C28</f>
        <v>1.4684023263770103</v>
      </c>
      <c r="D29" s="404">
        <f>D_AGRVA!D29/D_AGRVO!D28</f>
        <v>0.91230916796157657</v>
      </c>
      <c r="E29" s="404">
        <f>D_AGRVA!E29/D_AGRVO!E28</f>
        <v>1.1764574005925257</v>
      </c>
      <c r="F29" s="404">
        <f>D_AGRVA!F29/D_AGRVO!F28</f>
        <v>1.5958552968787936</v>
      </c>
      <c r="G29" s="404">
        <f>D_AGRVA!G29/D_AGRVO!G28</f>
        <v>2.3716661850591456</v>
      </c>
      <c r="H29" s="404">
        <f>D_AGRVA!H29/D_AGRVO!H28</f>
        <v>2.8624193583724367</v>
      </c>
      <c r="I29" s="407">
        <f>D_AGRVA!I29/D_AGRVO!I28</f>
        <v>4.8180966239813738</v>
      </c>
      <c r="J29" s="757"/>
      <c r="K29" s="758"/>
      <c r="L29" s="758"/>
      <c r="M29" s="758"/>
      <c r="N29" s="758"/>
      <c r="O29" s="758"/>
      <c r="P29" s="758"/>
      <c r="Q29" s="758"/>
      <c r="R29" s="758"/>
    </row>
    <row r="30" spans="1:18" s="759" customFormat="1" ht="13.95" customHeight="1" outlineLevel="1" x14ac:dyDescent="0.2">
      <c r="A30" s="722" t="s">
        <v>311</v>
      </c>
      <c r="B30" s="404">
        <f>D_AGRVA!B30/D_AGRVO!B29</f>
        <v>2.7121367629290152</v>
      </c>
      <c r="C30" s="404">
        <f>D_AGRVA!C30/D_AGRVO!C29</f>
        <v>2.2153145022474194</v>
      </c>
      <c r="D30" s="404">
        <f>D_AGRVA!D30/D_AGRVO!D29</f>
        <v>0.93233579264524091</v>
      </c>
      <c r="E30" s="404">
        <f>D_AGRVA!E30/D_AGRVO!E29</f>
        <v>1.7845562479029866</v>
      </c>
      <c r="F30" s="404">
        <f>D_AGRVA!F30/D_AGRVO!F29</f>
        <v>2.0429856911603168</v>
      </c>
      <c r="G30" s="404">
        <f>D_AGRVA!G30/D_AGRVO!G29</f>
        <v>4.0226768206269492</v>
      </c>
      <c r="H30" s="404">
        <f>D_AGRVA!H30/D_AGRVO!H29</f>
        <v>5.710578989863186</v>
      </c>
      <c r="I30" s="407">
        <f>D_AGRVA!I30/D_AGRVO!I29</f>
        <v>9.5171786372007379</v>
      </c>
      <c r="J30" s="757"/>
      <c r="K30" s="758"/>
      <c r="L30" s="758"/>
      <c r="M30" s="758"/>
      <c r="N30" s="758"/>
      <c r="O30" s="758"/>
      <c r="P30" s="758"/>
      <c r="Q30" s="758"/>
      <c r="R30" s="758"/>
    </row>
    <row r="31" spans="1:18" s="759" customFormat="1" ht="6" customHeight="1" x14ac:dyDescent="0.2">
      <c r="A31" s="722"/>
      <c r="B31" s="602"/>
      <c r="C31" s="602"/>
      <c r="D31" s="602"/>
      <c r="E31" s="602"/>
      <c r="F31" s="602"/>
      <c r="G31" s="602"/>
      <c r="H31" s="602"/>
      <c r="I31" s="624"/>
      <c r="J31" s="757"/>
      <c r="K31" s="758"/>
      <c r="L31" s="758"/>
      <c r="M31" s="758"/>
      <c r="N31" s="758"/>
      <c r="O31" s="758"/>
      <c r="P31" s="758"/>
      <c r="Q31" s="758"/>
      <c r="R31" s="758"/>
    </row>
    <row r="32" spans="1:18" s="759" customFormat="1" ht="15" customHeight="1" x14ac:dyDescent="0.2">
      <c r="A32" s="746" t="s">
        <v>318</v>
      </c>
      <c r="B32" s="602">
        <f>D_AGRVA!B32/D_AGRVO!B31</f>
        <v>0.44828018936902225</v>
      </c>
      <c r="C32" s="602">
        <f>D_AGRVA!C32/D_AGRVO!C31</f>
        <v>0.58638447949203742</v>
      </c>
      <c r="D32" s="602">
        <f>D_AGRVA!D32/D_AGRVO!D31</f>
        <v>0.30510186185422894</v>
      </c>
      <c r="E32" s="602">
        <f>D_AGRVA!E32/D_AGRVO!E31</f>
        <v>0.72311729957805915</v>
      </c>
      <c r="F32" s="602">
        <f>D_AGRVA!F32/D_AGRVO!F31</f>
        <v>0.90061078269094352</v>
      </c>
      <c r="G32" s="602">
        <f>D_AGRVA!G32/D_AGRVO!G31</f>
        <v>1.8818591549296251</v>
      </c>
      <c r="H32" s="602">
        <f>D_AGRVA!H32/D_AGRVO!H31</f>
        <v>1.1016115139691538</v>
      </c>
      <c r="I32" s="624">
        <f>D_AGRVA!I32/D_AGRVO!I31</f>
        <v>4.0135833333333339</v>
      </c>
      <c r="J32" s="757"/>
      <c r="K32" s="758"/>
      <c r="L32" s="758"/>
      <c r="M32" s="758"/>
      <c r="N32" s="758"/>
      <c r="O32" s="758"/>
      <c r="P32" s="758"/>
      <c r="Q32" s="758"/>
      <c r="R32" s="758"/>
    </row>
    <row r="33" spans="1:18" s="759" customFormat="1" ht="15" customHeight="1" x14ac:dyDescent="0.2">
      <c r="A33" s="746" t="s">
        <v>314</v>
      </c>
      <c r="B33" s="602">
        <f>D_AGRVA!B33/D_AGRVO!B32</f>
        <v>0.45139248882815353</v>
      </c>
      <c r="C33" s="602">
        <f>D_AGRVA!C33/D_AGRVO!C32</f>
        <v>0.62883053000137301</v>
      </c>
      <c r="D33" s="602">
        <f>D_AGRVA!D33/D_AGRVO!D32</f>
        <v>0.28973899341922327</v>
      </c>
      <c r="E33" s="602">
        <f>D_AGRVA!E33/D_AGRVO!E32</f>
        <v>0.79055498281786951</v>
      </c>
      <c r="F33" s="602">
        <f>D_AGRVA!F33/D_AGRVO!F32</f>
        <v>0.62755583996966235</v>
      </c>
      <c r="G33" s="602">
        <f>D_AGRVA!G33/D_AGRVO!G32</f>
        <v>1.0842681094078839</v>
      </c>
      <c r="H33" s="602">
        <f>D_AGRVA!H33/D_AGRVO!H32</f>
        <v>0.78272594134196638</v>
      </c>
      <c r="I33" s="624">
        <f>D_AGRVA!I33/D_AGRVO!I32</f>
        <v>2.8077235772357727</v>
      </c>
      <c r="J33" s="757"/>
      <c r="K33" s="815"/>
      <c r="L33" s="758"/>
      <c r="M33" s="758"/>
      <c r="N33" s="758"/>
      <c r="O33" s="758"/>
      <c r="P33" s="758"/>
      <c r="Q33" s="758"/>
      <c r="R33" s="758"/>
    </row>
    <row r="34" spans="1:18" s="759" customFormat="1" ht="15" customHeight="1" x14ac:dyDescent="0.2">
      <c r="A34" s="746" t="s">
        <v>307</v>
      </c>
      <c r="B34" s="602">
        <f>D_AGRVA!B34/D_AGRVO!B33</f>
        <v>0.48849460935573763</v>
      </c>
      <c r="C34" s="602">
        <f>D_AGRVA!C34/D_AGRVO!C33</f>
        <v>0.51238929131957034</v>
      </c>
      <c r="D34" s="602">
        <f>D_AGRVA!D34/D_AGRVO!D33</f>
        <v>0.29171895451739044</v>
      </c>
      <c r="E34" s="602">
        <f>D_AGRVA!E34/D_AGRVO!E33</f>
        <v>0.53764513788098689</v>
      </c>
      <c r="F34" s="602">
        <f>D_AGRVA!F34/D_AGRVO!F33</f>
        <v>0.52639445694416043</v>
      </c>
      <c r="G34" s="602">
        <f>D_AGRVA!G34/D_AGRVO!G33</f>
        <v>0.63096644295301896</v>
      </c>
      <c r="H34" s="602">
        <f>D_AGRVA!H34/D_AGRVO!H33</f>
        <v>1.7761477793268274</v>
      </c>
      <c r="I34" s="624">
        <f>D_AGRVA!I34/D_AGRVO!I33</f>
        <v>2.786695652173913</v>
      </c>
      <c r="J34" s="757"/>
      <c r="K34" s="758"/>
      <c r="L34" s="760"/>
      <c r="M34" s="758"/>
      <c r="N34" s="758"/>
      <c r="O34" s="758"/>
      <c r="P34" s="758"/>
      <c r="Q34" s="758"/>
      <c r="R34" s="758"/>
    </row>
    <row r="35" spans="1:18" s="759" customFormat="1" ht="15" customHeight="1" x14ac:dyDescent="0.2">
      <c r="A35" s="746" t="s">
        <v>308</v>
      </c>
      <c r="B35" s="602">
        <f>D_AGRVA!B35/D_AGRVO!B34</f>
        <v>0.70262583723177208</v>
      </c>
      <c r="C35" s="602">
        <f>D_AGRVA!C35/D_AGRVO!C34</f>
        <v>0.54142305365937959</v>
      </c>
      <c r="D35" s="602">
        <f>D_AGRVA!D35/D_AGRVO!D34</f>
        <v>0.42411392405063292</v>
      </c>
      <c r="E35" s="602">
        <f>D_AGRVA!E35/D_AGRVO!E34</f>
        <v>0.82424490835030551</v>
      </c>
      <c r="F35" s="602">
        <f>D_AGRVA!F35/D_AGRVO!F34</f>
        <v>0.30117891816920939</v>
      </c>
      <c r="G35" s="602">
        <f>D_AGRVA!G35/D_AGRVO!G34</f>
        <v>0.52435743801652979</v>
      </c>
      <c r="H35" s="602">
        <f>D_AGRVA!H35/D_AGRVO!H34</f>
        <v>2.3788392217384118</v>
      </c>
      <c r="I35" s="624">
        <f>D_AGRVA!I35/D_AGRVO!I34</f>
        <v>1.0017692307692307</v>
      </c>
      <c r="J35" s="757"/>
      <c r="K35" s="758"/>
      <c r="L35" s="760"/>
      <c r="M35" s="758"/>
      <c r="N35" s="758"/>
      <c r="O35" s="758"/>
      <c r="P35" s="758"/>
      <c r="Q35" s="758"/>
      <c r="R35" s="758"/>
    </row>
    <row r="36" spans="1:18" s="759" customFormat="1" ht="15" customHeight="1" x14ac:dyDescent="0.2">
      <c r="A36" s="746" t="s">
        <v>309</v>
      </c>
      <c r="B36" s="602">
        <f>D_AGRVA!B36/D_AGRVO!B35</f>
        <v>0.45373972355886327</v>
      </c>
      <c r="C36" s="602">
        <f>D_AGRVA!C36/D_AGRVO!C35</f>
        <v>0.76441051999999998</v>
      </c>
      <c r="D36" s="602">
        <f>D_AGRVA!D36/D_AGRVO!D35</f>
        <v>0.18973548780487803</v>
      </c>
      <c r="E36" s="602">
        <f>D_AGRVA!E36/D_AGRVO!E35</f>
        <v>0.75201207000603509</v>
      </c>
      <c r="F36" s="602">
        <f>D_AGRVA!F36/D_AGRVO!F35</f>
        <v>0.95676691729323293</v>
      </c>
      <c r="G36" s="602">
        <f>D_AGRVA!G36/D_AGRVO!G35</f>
        <v>1.7182941176471311</v>
      </c>
      <c r="H36" s="602">
        <f>D_AGRVA!H36/D_AGRVO!H35</f>
        <v>1.336930000573296</v>
      </c>
      <c r="I36" s="624">
        <f>D_AGRVA!I36/D_AGRVO!I35</f>
        <v>27.1</v>
      </c>
      <c r="J36" s="757"/>
      <c r="K36" s="758"/>
      <c r="L36" s="760"/>
      <c r="M36" s="758"/>
      <c r="N36" s="758"/>
      <c r="O36" s="758"/>
      <c r="P36" s="758"/>
      <c r="Q36" s="758"/>
      <c r="R36" s="758"/>
    </row>
    <row r="37" spans="1:18" s="759" customFormat="1" ht="15" customHeight="1" x14ac:dyDescent="0.2">
      <c r="A37" s="746" t="s">
        <v>310</v>
      </c>
      <c r="B37" s="602">
        <f>D_AGRVA!B37/D_AGRVO!B36</f>
        <v>0.61796671854777985</v>
      </c>
      <c r="C37" s="602">
        <f>D_AGRVA!C37/D_AGRVO!C36</f>
        <v>0.6329703166997781</v>
      </c>
      <c r="D37" s="602">
        <f>D_AGRVA!D37/D_AGRVO!D36</f>
        <v>0.17548121238808156</v>
      </c>
      <c r="E37" s="602">
        <f>D_AGRVA!E37/D_AGRVO!E36</f>
        <v>0.87483722871452407</v>
      </c>
      <c r="F37" s="602">
        <f>D_AGRVA!F37/D_AGRVO!F36</f>
        <v>0.84864479315263908</v>
      </c>
      <c r="G37" s="602">
        <f>D_AGRVA!G37/D_AGRVO!G36</f>
        <v>1.3289499818774912</v>
      </c>
      <c r="H37" s="602">
        <f>D_AGRVA!H37/D_AGRVO!H36</f>
        <v>1.5760073326120931</v>
      </c>
      <c r="I37" s="624">
        <f>D_AGRVA!I37/D_AGRVO!I36</f>
        <v>5.6449999999999996</v>
      </c>
      <c r="J37" s="757"/>
      <c r="K37" s="758"/>
      <c r="L37" s="760"/>
      <c r="M37" s="758"/>
      <c r="N37" s="758"/>
      <c r="O37" s="758"/>
      <c r="P37" s="758"/>
      <c r="Q37" s="758"/>
      <c r="R37" s="758"/>
    </row>
    <row r="38" spans="1:18" s="759" customFormat="1" ht="15" customHeight="1" x14ac:dyDescent="0.2">
      <c r="A38" s="746" t="s">
        <v>221</v>
      </c>
      <c r="B38" s="602">
        <f>D_AGRVA!B38/D_AGRVO!B37</f>
        <v>0.74559172365710991</v>
      </c>
      <c r="C38" s="602">
        <f>D_AGRVA!C38/D_AGRVO!C37</f>
        <v>0.65243230550317877</v>
      </c>
      <c r="D38" s="602">
        <f>D_AGRVA!D38/D_AGRVO!D37</f>
        <v>0.23554805462509665</v>
      </c>
      <c r="E38" s="602">
        <f>D_AGRVA!E38/D_AGRVO!E37</f>
        <v>0.50812218649517693</v>
      </c>
      <c r="F38" s="602">
        <f>D_AGRVA!F38/D_AGRVO!F37</f>
        <v>0.7691181220095693</v>
      </c>
      <c r="G38" s="602">
        <f>D_AGRVA!G38/D_AGRVO!G37</f>
        <v>0.60771098265896251</v>
      </c>
      <c r="H38" s="602">
        <f>D_AGRVA!H38/D_AGRVO!H37</f>
        <v>1.8044820348539936</v>
      </c>
      <c r="I38" s="624">
        <f>D_AGRVA!I38/D_AGRVO!I37</f>
        <v>7.5</v>
      </c>
      <c r="J38" s="757"/>
      <c r="K38" s="758"/>
      <c r="L38" s="760"/>
      <c r="M38" s="758"/>
      <c r="N38" s="758"/>
      <c r="O38" s="758"/>
      <c r="P38" s="758"/>
      <c r="Q38" s="758"/>
      <c r="R38" s="758"/>
    </row>
    <row r="39" spans="1:18" s="759" customFormat="1" ht="15" customHeight="1" x14ac:dyDescent="0.2">
      <c r="A39" s="746" t="s">
        <v>222</v>
      </c>
      <c r="B39" s="602">
        <f>D_AGRVA!B39/D_AGRVO!B38</f>
        <v>0.85369550823981621</v>
      </c>
      <c r="C39" s="602">
        <f>D_AGRVA!C39/D_AGRVO!C38</f>
        <v>0.76750509855126536</v>
      </c>
      <c r="D39" s="602">
        <f>D_AGRVA!D39/D_AGRVO!D38</f>
        <v>0.38950831044948697</v>
      </c>
      <c r="E39" s="602">
        <f>D_AGRVA!E39/D_AGRVO!E38</f>
        <v>0.91133290714399873</v>
      </c>
      <c r="F39" s="602">
        <f>D_AGRVA!F39/D_AGRVO!F38</f>
        <v>0.97763632604110651</v>
      </c>
      <c r="G39" s="602">
        <f>D_AGRVA!G39/D_AGRVO!G38</f>
        <v>0.86039081297849129</v>
      </c>
      <c r="H39" s="602">
        <f>D_AGRVA!H39/D_AGRVO!H38</f>
        <v>1.5575876442666794</v>
      </c>
      <c r="I39" s="624">
        <f>D_AGRVA!I39/D_AGRVO!I38</f>
        <v>0</v>
      </c>
      <c r="J39" s="757"/>
      <c r="K39" s="758"/>
      <c r="L39" s="760"/>
      <c r="M39" s="758"/>
      <c r="N39" s="758"/>
      <c r="O39" s="758"/>
      <c r="P39" s="758"/>
      <c r="Q39" s="758"/>
      <c r="R39" s="758"/>
    </row>
    <row r="40" spans="1:18" s="759" customFormat="1" ht="15" customHeight="1" x14ac:dyDescent="0.2">
      <c r="A40" s="746" t="s">
        <v>223</v>
      </c>
      <c r="B40" s="602">
        <f>D_AGRVA!B40/D_AGRVO!B39</f>
        <v>0.80788720009792714</v>
      </c>
      <c r="C40" s="602">
        <f>D_AGRVA!C40/D_AGRVO!C39</f>
        <v>0.71118230149202533</v>
      </c>
      <c r="D40" s="602">
        <f>D_AGRVA!D40/D_AGRVO!D39</f>
        <v>0.32409861275405955</v>
      </c>
      <c r="E40" s="602">
        <f>D_AGRVA!E40/D_AGRVO!E39</f>
        <v>1.2733069356452151</v>
      </c>
      <c r="F40" s="602">
        <f>D_AGRVA!F40/D_AGRVO!F39</f>
        <v>1.0052935705620705</v>
      </c>
      <c r="G40" s="602">
        <f>D_AGRVA!G40/D_AGRVO!G39</f>
        <v>1.9611680497925337</v>
      </c>
      <c r="H40" s="602">
        <f>D_AGRVA!H40/D_AGRVO!H39</f>
        <v>1.7355218620232402</v>
      </c>
      <c r="I40" s="624">
        <f>D_AGRVA!I40/D_AGRVO!I39</f>
        <v>0</v>
      </c>
      <c r="J40" s="757"/>
      <c r="K40" s="758"/>
      <c r="L40" s="760"/>
      <c r="M40" s="758"/>
      <c r="N40" s="758"/>
      <c r="O40" s="758"/>
      <c r="P40" s="758"/>
      <c r="Q40" s="758"/>
      <c r="R40" s="758"/>
    </row>
    <row r="41" spans="1:18" s="759" customFormat="1" ht="15" customHeight="1" x14ac:dyDescent="0.2">
      <c r="A41" s="746" t="s">
        <v>224</v>
      </c>
      <c r="B41" s="602">
        <f>D_AGRVA!B41/D_AGRVO!B40</f>
        <v>1.1429693207275764</v>
      </c>
      <c r="C41" s="602">
        <f>D_AGRVA!C41/D_AGRVO!C40</f>
        <v>0.87319452951737264</v>
      </c>
      <c r="D41" s="602">
        <f>D_AGRVA!D41/D_AGRVO!D40</f>
        <v>0.36895206887689541</v>
      </c>
      <c r="E41" s="602">
        <f>D_AGRVA!E41/D_AGRVO!E40</f>
        <v>0.9855649100925058</v>
      </c>
      <c r="F41" s="602">
        <f>D_AGRVA!F41/D_AGRVO!F40</f>
        <v>0.95885033206831116</v>
      </c>
      <c r="G41" s="602">
        <f>D_AGRVA!G41/D_AGRVO!G40</f>
        <v>1.7807641509434007</v>
      </c>
      <c r="H41" s="602">
        <f>D_AGRVA!H41/D_AGRVO!H40</f>
        <v>1.469284198186517</v>
      </c>
      <c r="I41" s="624">
        <f>D_AGRVA!I41/D_AGRVO!I40</f>
        <v>8.3575133928571432</v>
      </c>
      <c r="J41" s="757"/>
      <c r="K41" s="758"/>
      <c r="L41" s="760"/>
      <c r="M41" s="758"/>
      <c r="N41" s="758"/>
      <c r="O41" s="758"/>
      <c r="P41" s="758"/>
      <c r="Q41" s="758"/>
      <c r="R41" s="758"/>
    </row>
    <row r="42" spans="1:18" s="759" customFormat="1" ht="15" customHeight="1" x14ac:dyDescent="0.2">
      <c r="A42" s="746" t="s">
        <v>225</v>
      </c>
      <c r="B42" s="602">
        <f>D_AGRVA!B42/D_AGRVO!B41</f>
        <v>1.2475108702923274</v>
      </c>
      <c r="C42" s="602">
        <f>D_AGRVA!C42/D_AGRVO!C41</f>
        <v>1.077965800935635</v>
      </c>
      <c r="D42" s="602">
        <f>D_AGRVA!D42/D_AGRVO!D41</f>
        <v>0.36216450216450213</v>
      </c>
      <c r="E42" s="602">
        <f>D_AGRVA!E42/D_AGRVO!E41</f>
        <v>0.81334180432020331</v>
      </c>
      <c r="F42" s="602">
        <f>D_AGRVA!F42/D_AGRVO!F41</f>
        <v>0.85215263157894727</v>
      </c>
      <c r="G42" s="602">
        <f>D_AGRVA!G42/D_AGRVO!G41</f>
        <v>0.77083449235048729</v>
      </c>
      <c r="H42" s="602">
        <f>D_AGRVA!H42/D_AGRVO!H41</f>
        <v>3.2905471289274102</v>
      </c>
      <c r="I42" s="624">
        <f>D_AGRVA!I42/D_AGRVO!I41</f>
        <v>7.7296610169491515</v>
      </c>
      <c r="J42" s="757"/>
      <c r="K42" s="758"/>
      <c r="L42" s="760"/>
      <c r="M42" s="758"/>
      <c r="N42" s="758"/>
      <c r="O42" s="758"/>
      <c r="P42" s="758"/>
      <c r="Q42" s="758"/>
      <c r="R42" s="758"/>
    </row>
    <row r="43" spans="1:18" s="759" customFormat="1" ht="15" customHeight="1" x14ac:dyDescent="0.2">
      <c r="A43" s="746" t="s">
        <v>226</v>
      </c>
      <c r="B43" s="602">
        <f>D_AGRVA!B43/D_AGRVO!B42</f>
        <v>0.96059261913292748</v>
      </c>
      <c r="C43" s="602">
        <f>D_AGRVA!C43/D_AGRVO!C42</f>
        <v>0.71430296756383693</v>
      </c>
      <c r="D43" s="602">
        <f>D_AGRVA!D43/D_AGRVO!D42</f>
        <v>0.39254237288135591</v>
      </c>
      <c r="E43" s="602">
        <f>D_AGRVA!E43/D_AGRVO!E42</f>
        <v>0.8364676966292135</v>
      </c>
      <c r="F43" s="602">
        <f>D_AGRVA!F43/D_AGRVO!F42</f>
        <v>1.0673223072717331</v>
      </c>
      <c r="G43" s="602">
        <f>D_AGRVA!G43/D_AGRVO!G42</f>
        <v>0.92667421839601327</v>
      </c>
      <c r="H43" s="602">
        <f>D_AGRVA!H43/D_AGRVO!H42</f>
        <v>2.898942741208296</v>
      </c>
      <c r="I43" s="624">
        <f>D_AGRVA!I43/D_AGRVO!I42</f>
        <v>8.8528448275862051</v>
      </c>
      <c r="J43" s="757"/>
      <c r="K43" s="758"/>
      <c r="L43" s="760"/>
      <c r="M43" s="758"/>
      <c r="N43" s="758"/>
      <c r="O43" s="758"/>
      <c r="P43" s="758"/>
      <c r="Q43" s="758"/>
      <c r="R43" s="758"/>
    </row>
    <row r="44" spans="1:18" s="759" customFormat="1" ht="15" customHeight="1" x14ac:dyDescent="0.2">
      <c r="A44" s="746" t="s">
        <v>227</v>
      </c>
      <c r="B44" s="602">
        <f>D_AGRVA!B44/D_AGRVO!B43</f>
        <v>1.2275362133605998</v>
      </c>
      <c r="C44" s="602">
        <f>D_AGRVA!C44/D_AGRVO!C43</f>
        <v>0.89339016344835243</v>
      </c>
      <c r="D44" s="602">
        <f>D_AGRVA!D44/D_AGRVO!D43</f>
        <v>0.4009375789739702</v>
      </c>
      <c r="E44" s="602">
        <f>D_AGRVA!E44/D_AGRVO!E43</f>
        <v>1.0204357298474944</v>
      </c>
      <c r="F44" s="602">
        <f>D_AGRVA!F44/D_AGRVO!F43</f>
        <v>1.4948534055029319</v>
      </c>
      <c r="G44" s="602">
        <f>D_AGRVA!G44/D_AGRVO!G43</f>
        <v>2.3759538357094345</v>
      </c>
      <c r="H44" s="602">
        <f>D_AGRVA!H44/D_AGRVO!H43</f>
        <v>2.4935781103835368</v>
      </c>
      <c r="I44" s="624">
        <f>D_AGRVA!I44/D_AGRVO!I43</f>
        <v>12.015274725274725</v>
      </c>
      <c r="J44" s="757"/>
      <c r="K44" s="758"/>
      <c r="L44" s="760"/>
      <c r="M44" s="758"/>
      <c r="N44" s="758"/>
      <c r="O44" s="758"/>
      <c r="P44" s="758"/>
      <c r="Q44" s="758"/>
      <c r="R44" s="758"/>
    </row>
    <row r="45" spans="1:18" s="759" customFormat="1" ht="15" customHeight="1" x14ac:dyDescent="0.2">
      <c r="A45" s="746" t="s">
        <v>228</v>
      </c>
      <c r="B45" s="602">
        <f>D_AGRVA!B45/D_AGRVO!B44</f>
        <v>1.0507418987532731</v>
      </c>
      <c r="C45" s="602">
        <f>D_AGRVA!C45/D_AGRVO!C44</f>
        <v>0.90639255778511574</v>
      </c>
      <c r="D45" s="602">
        <f>D_AGRVA!D45/D_AGRVO!D44</f>
        <v>0.46703301573232875</v>
      </c>
      <c r="E45" s="602">
        <f>D_AGRVA!E45/D_AGRVO!E44</f>
        <v>0.86681856346843755</v>
      </c>
      <c r="F45" s="602">
        <f>D_AGRVA!F45/D_AGRVO!F44</f>
        <v>0.84422732919254662</v>
      </c>
      <c r="G45" s="602">
        <f>D_AGRVA!G45/D_AGRVO!G44</f>
        <v>1.817313000616142</v>
      </c>
      <c r="H45" s="602">
        <f>D_AGRVA!H45/D_AGRVO!H44</f>
        <v>1.7185653329758956</v>
      </c>
      <c r="I45" s="624">
        <f>D_AGRVA!I45/D_AGRVO!I44</f>
        <v>9.7343055555555562</v>
      </c>
      <c r="J45" s="757"/>
      <c r="K45" s="758"/>
      <c r="L45" s="760"/>
      <c r="M45" s="758"/>
      <c r="N45" s="758"/>
      <c r="O45" s="758"/>
      <c r="P45" s="758"/>
      <c r="Q45" s="758"/>
      <c r="R45" s="758"/>
    </row>
    <row r="46" spans="1:18" s="759" customFormat="1" ht="15" customHeight="1" x14ac:dyDescent="0.2">
      <c r="A46" s="746" t="s">
        <v>229</v>
      </c>
      <c r="B46" s="602">
        <f>D_AGRVA!B46/D_AGRVO!B45</f>
        <v>1.2522100414304407</v>
      </c>
      <c r="C46" s="602">
        <f>D_AGRVA!C46/D_AGRVO!C45</f>
        <v>1.0519206189034644</v>
      </c>
      <c r="D46" s="602">
        <f>D_AGRVA!D46/D_AGRVO!D45</f>
        <v>0.57163722646981274</v>
      </c>
      <c r="E46" s="602">
        <f>D_AGRVA!E46/D_AGRVO!E45</f>
        <v>0.99363425925925919</v>
      </c>
      <c r="F46" s="602">
        <f>D_AGRVA!F46/D_AGRVO!F45</f>
        <v>0.86649035025017884</v>
      </c>
      <c r="G46" s="602">
        <f>D_AGRVA!G46/D_AGRVO!G45</f>
        <v>2.0319640287769807</v>
      </c>
      <c r="H46" s="602">
        <f>D_AGRVA!H46/D_AGRVO!H45</f>
        <v>2.5295797523670798</v>
      </c>
      <c r="I46" s="624">
        <f>D_AGRVA!I46/D_AGRVO!I45</f>
        <v>9.6935802469135801</v>
      </c>
      <c r="J46" s="757"/>
      <c r="K46" s="758"/>
      <c r="L46" s="760"/>
      <c r="M46" s="758"/>
      <c r="N46" s="758"/>
      <c r="O46" s="758"/>
      <c r="P46" s="758"/>
      <c r="Q46" s="758"/>
      <c r="R46" s="758"/>
    </row>
    <row r="47" spans="1:18" s="759" customFormat="1" ht="15" customHeight="1" x14ac:dyDescent="0.2">
      <c r="A47" s="746" t="s">
        <v>230</v>
      </c>
      <c r="B47" s="602">
        <f>D_AGRVA!B47/D_AGRVO!B46</f>
        <v>1.169982449584434</v>
      </c>
      <c r="C47" s="602">
        <f>D_AGRVA!C47/D_AGRVO!C46</f>
        <v>1.0991003594675992</v>
      </c>
      <c r="D47" s="602">
        <f>D_AGRVA!D47/D_AGRVO!D46</f>
        <v>0.40794170808856756</v>
      </c>
      <c r="E47" s="602">
        <f>D_AGRVA!E47/D_AGRVO!E46</f>
        <v>0.66525997215664912</v>
      </c>
      <c r="F47" s="602">
        <f>D_AGRVA!F47/D_AGRVO!F46</f>
        <v>0.73620659509202446</v>
      </c>
      <c r="G47" s="602">
        <f>D_AGRVA!G47/D_AGRVO!G46</f>
        <v>1.0958447238928368</v>
      </c>
      <c r="H47" s="602">
        <f>D_AGRVA!H47/D_AGRVO!H46</f>
        <v>3.340537677878396</v>
      </c>
      <c r="I47" s="624">
        <f>D_AGRVA!I47/D_AGRVO!I46</f>
        <v>8.4612658227848083</v>
      </c>
      <c r="J47" s="757"/>
      <c r="K47" s="758"/>
      <c r="L47" s="760"/>
      <c r="M47" s="758"/>
      <c r="N47" s="758"/>
      <c r="O47" s="758"/>
      <c r="P47" s="758"/>
      <c r="Q47" s="758"/>
      <c r="R47" s="758"/>
    </row>
    <row r="48" spans="1:18" s="759" customFormat="1" ht="15" customHeight="1" x14ac:dyDescent="0.2">
      <c r="A48" s="746" t="s">
        <v>231</v>
      </c>
      <c r="B48" s="602">
        <f>D_AGRVA!B48/D_AGRVO!B47</f>
        <v>1.0070883788980149</v>
      </c>
      <c r="C48" s="602">
        <f>D_AGRVA!C48/D_AGRVO!C47</f>
        <v>0.79918065815983874</v>
      </c>
      <c r="D48" s="602">
        <f>D_AGRVA!D48/D_AGRVO!D47</f>
        <v>0.34749308118081179</v>
      </c>
      <c r="E48" s="602">
        <f>D_AGRVA!E48/D_AGRVO!E47</f>
        <v>1.0088772432513951</v>
      </c>
      <c r="F48" s="602">
        <f>D_AGRVA!F48/D_AGRVO!F47</f>
        <v>1.2462980068060281</v>
      </c>
      <c r="G48" s="602">
        <f>D_AGRVA!G48/D_AGRVO!G47</f>
        <v>1.5795609756097599</v>
      </c>
      <c r="H48" s="602">
        <f>D_AGRVA!H48/D_AGRVO!H47</f>
        <v>2.0308723489395759</v>
      </c>
      <c r="I48" s="624">
        <f>D_AGRVA!I48/D_AGRVO!I47</f>
        <v>8.0885245901639351</v>
      </c>
      <c r="J48" s="757"/>
      <c r="K48" s="758"/>
      <c r="L48" s="760"/>
      <c r="M48" s="758"/>
      <c r="N48" s="758"/>
      <c r="O48" s="758"/>
      <c r="P48" s="758"/>
      <c r="Q48" s="758"/>
      <c r="R48" s="758"/>
    </row>
    <row r="49" spans="1:18" s="759" customFormat="1" ht="15" customHeight="1" x14ac:dyDescent="0.2">
      <c r="A49" s="746" t="s">
        <v>232</v>
      </c>
      <c r="B49" s="602">
        <f>D_AGRVA!B49/D_AGRVO!B48</f>
        <v>1.0139363719544756</v>
      </c>
      <c r="C49" s="602">
        <f>D_AGRVA!C49/D_AGRVO!C48</f>
        <v>0.87151098723018083</v>
      </c>
      <c r="D49" s="602">
        <f>D_AGRVA!D49/D_AGRVO!D48</f>
        <v>0.35432615124630334</v>
      </c>
      <c r="E49" s="602">
        <f>D_AGRVA!E49/D_AGRVO!E48</f>
        <v>0.84048823016564955</v>
      </c>
      <c r="F49" s="602">
        <f>D_AGRVA!F49/D_AGRVO!F48</f>
        <v>0.92672473867595806</v>
      </c>
      <c r="G49" s="602">
        <f>D_AGRVA!G49/D_AGRVO!G48</f>
        <v>2.2145735027223328</v>
      </c>
      <c r="H49" s="602">
        <f>D_AGRVA!H49/D_AGRVO!H48</f>
        <v>2.0092028088366152</v>
      </c>
      <c r="I49" s="624">
        <f>D_AGRVA!I49/D_AGRVO!I48</f>
        <v>10.586999999999996</v>
      </c>
      <c r="J49" s="757"/>
      <c r="K49" s="758"/>
      <c r="L49" s="760"/>
      <c r="M49" s="758"/>
      <c r="N49" s="758"/>
      <c r="O49" s="758"/>
      <c r="P49" s="758"/>
      <c r="Q49" s="758"/>
      <c r="R49" s="758"/>
    </row>
    <row r="50" spans="1:18" s="759" customFormat="1" ht="15" customHeight="1" x14ac:dyDescent="0.2">
      <c r="A50" s="746" t="s">
        <v>233</v>
      </c>
      <c r="B50" s="602">
        <f>D_AGRVA!B50/D_AGRVO!B49</f>
        <v>0.94952792738664904</v>
      </c>
      <c r="C50" s="602">
        <f>D_AGRVA!C50/D_AGRVO!C49</f>
        <v>0.80328417320458656</v>
      </c>
      <c r="D50" s="602">
        <f>D_AGRVA!D50/D_AGRVO!D49</f>
        <v>0.4446639028723719</v>
      </c>
      <c r="E50" s="602">
        <f>D_AGRVA!E50/D_AGRVO!E49</f>
        <v>0.67640334321919648</v>
      </c>
      <c r="F50" s="602">
        <f>D_AGRVA!F50/D_AGRVO!F49</f>
        <v>0.79156626506024097</v>
      </c>
      <c r="G50" s="602">
        <f>D_AGRVA!G50/D_AGRVO!G49</f>
        <v>0.65177361211247287</v>
      </c>
      <c r="H50" s="602">
        <f>D_AGRVA!H50/D_AGRVO!H49</f>
        <v>3.1701111111111118</v>
      </c>
      <c r="I50" s="624">
        <f>D_AGRVA!I50/D_AGRVO!I49</f>
        <v>12.891904761904762</v>
      </c>
      <c r="J50" s="757"/>
      <c r="K50" s="758"/>
      <c r="L50" s="760"/>
      <c r="M50" s="758"/>
      <c r="N50" s="758"/>
      <c r="O50" s="758"/>
      <c r="P50" s="758"/>
      <c r="Q50" s="758"/>
      <c r="R50" s="758"/>
    </row>
    <row r="51" spans="1:18" s="759" customFormat="1" ht="15" customHeight="1" x14ac:dyDescent="0.2">
      <c r="A51" s="746" t="s">
        <v>234</v>
      </c>
      <c r="B51" s="602">
        <f>D_AGRVA!B51/D_AGRVO!B50</f>
        <v>1.0571588316049201</v>
      </c>
      <c r="C51" s="602">
        <f>D_AGRVA!C51/D_AGRVO!C50</f>
        <v>1.0925116379310345</v>
      </c>
      <c r="D51" s="602">
        <f>D_AGRVA!D51/D_AGRVO!D50</f>
        <v>0.37022948938611577</v>
      </c>
      <c r="E51" s="602">
        <f>D_AGRVA!E51/D_AGRVO!E50</f>
        <v>0.69016977928692702</v>
      </c>
      <c r="F51" s="602">
        <f>D_AGRVA!F51/D_AGRVO!F50</f>
        <v>1.0862177888611801</v>
      </c>
      <c r="G51" s="602">
        <f>D_AGRVA!G51/D_AGRVO!G50</f>
        <v>1.0143243243243252</v>
      </c>
      <c r="H51" s="602">
        <f>D_AGRVA!H51/D_AGRVO!H50</f>
        <v>2.1596761892018468</v>
      </c>
      <c r="I51" s="624">
        <f>D_AGRVA!I51/D_AGRVO!I50</f>
        <v>11.586666666666666</v>
      </c>
      <c r="J51" s="757"/>
      <c r="K51" s="758"/>
      <c r="L51" s="760"/>
      <c r="M51" s="758"/>
      <c r="N51" s="758"/>
      <c r="O51" s="758"/>
      <c r="P51" s="758"/>
      <c r="Q51" s="758"/>
      <c r="R51" s="758"/>
    </row>
    <row r="52" spans="1:18" s="759" customFormat="1" ht="15" customHeight="1" x14ac:dyDescent="0.2">
      <c r="A52" s="746" t="s">
        <v>235</v>
      </c>
      <c r="B52" s="602">
        <f>D_AGRVA!B52/D_AGRVO!B51</f>
        <v>1.1015218877565303</v>
      </c>
      <c r="C52" s="602">
        <f>D_AGRVA!C52/D_AGRVO!C51</f>
        <v>0.9171054200901142</v>
      </c>
      <c r="D52" s="602">
        <f>D_AGRVA!D52/D_AGRVO!D51</f>
        <v>0.43552257600287819</v>
      </c>
      <c r="E52" s="602">
        <f>D_AGRVA!E52/D_AGRVO!E51</f>
        <v>1.1533955223880596</v>
      </c>
      <c r="F52" s="602">
        <f>D_AGRVA!F52/D_AGRVO!F51</f>
        <v>1.4362114305750351</v>
      </c>
      <c r="G52" s="602">
        <f>D_AGRVA!G52/D_AGRVO!G51</f>
        <v>2.0463800904977378</v>
      </c>
      <c r="H52" s="602">
        <f>D_AGRVA!H52/D_AGRVO!H51</f>
        <v>2.0953334174500031</v>
      </c>
      <c r="I52" s="624">
        <f>D_AGRVA!I52/D_AGRVO!I51</f>
        <v>13.911500000000002</v>
      </c>
      <c r="J52" s="757"/>
      <c r="K52" s="758"/>
      <c r="L52" s="760"/>
      <c r="M52" s="758"/>
      <c r="N52" s="758"/>
      <c r="O52" s="758"/>
      <c r="P52" s="758"/>
      <c r="Q52" s="758"/>
      <c r="R52" s="758"/>
    </row>
    <row r="53" spans="1:18" s="759" customFormat="1" ht="15" customHeight="1" x14ac:dyDescent="0.2">
      <c r="A53" s="746" t="s">
        <v>236</v>
      </c>
      <c r="B53" s="602">
        <f>D_AGRVA!B53/D_AGRVO!B52</f>
        <v>0.97931324840067802</v>
      </c>
      <c r="C53" s="602">
        <f>D_AGRVA!C53/D_AGRVO!C52</f>
        <v>0.94190591073582619</v>
      </c>
      <c r="D53" s="602">
        <f>D_AGRVA!D53/D_AGRVO!D52</f>
        <v>0.63974569039085172</v>
      </c>
      <c r="E53" s="602">
        <f>D_AGRVA!E53/D_AGRVO!E52</f>
        <v>0.8148696319018407</v>
      </c>
      <c r="F53" s="602">
        <f>D_AGRVA!F53/D_AGRVO!F52</f>
        <v>0.80239383259911889</v>
      </c>
      <c r="G53" s="602">
        <f>D_AGRVA!G53/D_AGRVO!G52</f>
        <v>2.1804434907010068</v>
      </c>
      <c r="H53" s="602">
        <f>D_AGRVA!H53/D_AGRVO!H52</f>
        <v>1.8004987603908416</v>
      </c>
      <c r="I53" s="624">
        <f>D_AGRVA!I53/D_AGRVO!I52</f>
        <v>11.256153846153845</v>
      </c>
      <c r="J53" s="757"/>
      <c r="K53" s="758"/>
      <c r="L53" s="760"/>
      <c r="M53" s="758"/>
      <c r="N53" s="758"/>
      <c r="O53" s="758"/>
      <c r="P53" s="758"/>
      <c r="Q53" s="758"/>
      <c r="R53" s="758"/>
    </row>
    <row r="54" spans="1:18" s="759" customFormat="1" ht="15" customHeight="1" x14ac:dyDescent="0.2">
      <c r="A54" s="746" t="s">
        <v>237</v>
      </c>
      <c r="B54" s="602">
        <f>D_AGRVA!B54/D_AGRVO!B53</f>
        <v>1.2503527393169851</v>
      </c>
      <c r="C54" s="602">
        <f>D_AGRVA!C54/D_AGRVO!C53</f>
        <v>1.0014575942039812</v>
      </c>
      <c r="D54" s="602">
        <f>D_AGRVA!D54/D_AGRVO!D53</f>
        <v>0.70545979299363071</v>
      </c>
      <c r="E54" s="602">
        <f>D_AGRVA!E54/D_AGRVO!E53</f>
        <v>0.83138567293777144</v>
      </c>
      <c r="F54" s="602">
        <f>D_AGRVA!F54/D_AGRVO!F53</f>
        <v>1.4662912700020252</v>
      </c>
      <c r="G54" s="602">
        <f>D_AGRVA!G54/D_AGRVO!G53</f>
        <v>1.2329099307159364</v>
      </c>
      <c r="H54" s="602">
        <f>D_AGRVA!H54/D_AGRVO!H53</f>
        <v>4.0136341972971215</v>
      </c>
      <c r="I54" s="624">
        <f>D_AGRVA!I54/D_AGRVO!I53</f>
        <v>11.195238095238096</v>
      </c>
      <c r="J54" s="757"/>
      <c r="K54" s="758"/>
      <c r="L54" s="760"/>
      <c r="M54" s="758"/>
      <c r="N54" s="758"/>
      <c r="O54" s="758"/>
      <c r="P54" s="758"/>
      <c r="Q54" s="758"/>
      <c r="R54" s="758"/>
    </row>
    <row r="55" spans="1:18" s="759" customFormat="1" ht="15" customHeight="1" x14ac:dyDescent="0.2">
      <c r="A55" s="746" t="s">
        <v>238</v>
      </c>
      <c r="B55" s="602">
        <f>D_AGRVA!B55/D_AGRVO!B54</f>
        <v>1.2973952198770582</v>
      </c>
      <c r="C55" s="602">
        <f>D_AGRVA!C55/D_AGRVO!C54</f>
        <v>1.1693824153020254</v>
      </c>
      <c r="D55" s="602">
        <f>D_AGRVA!D55/D_AGRVO!D54</f>
        <v>0.76943564180167323</v>
      </c>
      <c r="E55" s="602">
        <f>D_AGRVA!E55/D_AGRVO!E54</f>
        <v>0.97410007199424042</v>
      </c>
      <c r="F55" s="602">
        <f>D_AGRVA!F55/D_AGRVO!F54</f>
        <v>1.2627851186658114</v>
      </c>
      <c r="G55" s="602">
        <f>D_AGRVA!G55/D_AGRVO!G54</f>
        <v>1.0142857142857147</v>
      </c>
      <c r="H55" s="602">
        <f>D_AGRVA!H55/D_AGRVO!H54</f>
        <v>3.6042960920158742</v>
      </c>
      <c r="I55" s="624">
        <f>D_AGRVA!I55/D_AGRVO!I54</f>
        <v>10.999047619047619</v>
      </c>
      <c r="J55" s="757"/>
      <c r="K55" s="758"/>
      <c r="L55" s="760"/>
      <c r="M55" s="758"/>
      <c r="N55" s="758"/>
      <c r="O55" s="758"/>
      <c r="P55" s="758"/>
      <c r="Q55" s="758"/>
      <c r="R55" s="758"/>
    </row>
    <row r="56" spans="1:18" s="759" customFormat="1" ht="15" customHeight="1" x14ac:dyDescent="0.2">
      <c r="A56" s="746" t="s">
        <v>239</v>
      </c>
      <c r="B56" s="602">
        <f>D_AGRVA!B56/D_AGRVO!B55</f>
        <v>1.2478759922181621</v>
      </c>
      <c r="C56" s="602">
        <f>D_AGRVA!C56/D_AGRVO!C55</f>
        <v>1.1958007526914889</v>
      </c>
      <c r="D56" s="602">
        <f>D_AGRVA!D56/D_AGRVO!D55</f>
        <v>0.50739780946476543</v>
      </c>
      <c r="E56" s="602">
        <f>D_AGRVA!E56/D_AGRVO!E55</f>
        <v>1.5327759482863765</v>
      </c>
      <c r="F56" s="602">
        <f>D_AGRVA!F56/D_AGRVO!F55</f>
        <v>1.3964367719690616</v>
      </c>
      <c r="G56" s="602">
        <f>D_AGRVA!G56/D_AGRVO!G55</f>
        <v>2.680357995226744</v>
      </c>
      <c r="H56" s="602">
        <f>D_AGRVA!H56/D_AGRVO!H55</f>
        <v>1.5779973402616607</v>
      </c>
      <c r="I56" s="624">
        <f>D_AGRVA!I56/D_AGRVO!I55</f>
        <v>1.2350000000000001</v>
      </c>
      <c r="J56" s="757"/>
      <c r="K56" s="758"/>
      <c r="L56" s="760"/>
      <c r="M56" s="758"/>
      <c r="N56" s="758"/>
      <c r="O56" s="758"/>
      <c r="P56" s="758"/>
      <c r="Q56" s="758"/>
      <c r="R56" s="758"/>
    </row>
    <row r="57" spans="1:18" s="759" customFormat="1" ht="15" customHeight="1" x14ac:dyDescent="0.2">
      <c r="A57" s="746" t="s">
        <v>240</v>
      </c>
      <c r="B57" s="602">
        <f>D_AGRVA!B57/D_AGRVO!B56</f>
        <v>1.2838462387021328</v>
      </c>
      <c r="C57" s="602">
        <f>D_AGRVA!C57/D_AGRVO!C56</f>
        <v>1.3339536625729465</v>
      </c>
      <c r="D57" s="602">
        <f>D_AGRVA!D57/D_AGRVO!D56</f>
        <v>0.66713970137042333</v>
      </c>
      <c r="E57" s="602">
        <f>D_AGRVA!E57/D_AGRVO!E56</f>
        <v>1.5299402475458812</v>
      </c>
      <c r="F57" s="602">
        <f>D_AGRVA!F57/D_AGRVO!F56</f>
        <v>0.92106892101187388</v>
      </c>
      <c r="G57" s="602">
        <f>D_AGRVA!G57/D_AGRVO!G56</f>
        <v>3.3923716283716221</v>
      </c>
      <c r="H57" s="602">
        <f>D_AGRVA!H57/D_AGRVO!H56</f>
        <v>1.5491156349994482</v>
      </c>
      <c r="I57" s="624">
        <f>D_AGRVA!I57/D_AGRVO!I56</f>
        <v>5.3010909090909077</v>
      </c>
      <c r="J57" s="757"/>
      <c r="K57" s="758"/>
      <c r="L57" s="760"/>
      <c r="M57" s="758"/>
      <c r="N57" s="758"/>
      <c r="O57" s="758"/>
      <c r="P57" s="758"/>
      <c r="Q57" s="758"/>
      <c r="R57" s="758"/>
    </row>
    <row r="58" spans="1:18" s="759" customFormat="1" ht="15" customHeight="1" x14ac:dyDescent="0.2">
      <c r="A58" s="746" t="s">
        <v>241</v>
      </c>
      <c r="B58" s="602">
        <f>D_AGRVA!B58/D_AGRVO!B57</f>
        <v>1.4444924865831845</v>
      </c>
      <c r="C58" s="602">
        <f>D_AGRVA!C58/D_AGRVO!C57</f>
        <v>1.0187529880478086</v>
      </c>
      <c r="D58" s="602">
        <f>D_AGRVA!D58/D_AGRVO!D57</f>
        <v>0.69304522613065334</v>
      </c>
      <c r="E58" s="602">
        <f>D_AGRVA!E58/D_AGRVO!E57</f>
        <v>0.97884474123539222</v>
      </c>
      <c r="F58" s="602">
        <f>D_AGRVA!F58/D_AGRVO!F57</f>
        <v>1.0827089743589744</v>
      </c>
      <c r="G58" s="602">
        <f>D_AGRVA!G58/D_AGRVO!G57</f>
        <v>1.9949246153846156</v>
      </c>
      <c r="H58" s="602">
        <f>D_AGRVA!H58/D_AGRVO!H57</f>
        <v>3.4370479192938213</v>
      </c>
      <c r="I58" s="624">
        <f>D_AGRVA!I58/D_AGRVO!I57</f>
        <v>8.878937500000001</v>
      </c>
      <c r="J58" s="757"/>
      <c r="K58" s="758"/>
      <c r="L58" s="760"/>
      <c r="M58" s="758"/>
      <c r="N58" s="758"/>
      <c r="O58" s="758"/>
      <c r="P58" s="758"/>
      <c r="Q58" s="758"/>
      <c r="R58" s="758"/>
    </row>
    <row r="59" spans="1:18" s="759" customFormat="1" ht="15" customHeight="1" x14ac:dyDescent="0.2">
      <c r="A59" s="746" t="s">
        <v>242</v>
      </c>
      <c r="B59" s="602">
        <f>D_AGRVA!B59/D_AGRVO!B58</f>
        <v>1.0932467950212112</v>
      </c>
      <c r="C59" s="602">
        <f>D_AGRVA!C59/D_AGRVO!C58</f>
        <v>0.91328954915682004</v>
      </c>
      <c r="D59" s="602">
        <f>D_AGRVA!D59/D_AGRVO!D58</f>
        <v>0.58247945794794587</v>
      </c>
      <c r="E59" s="602">
        <f>D_AGRVA!E59/D_AGRVO!E58</f>
        <v>0.87290126811594204</v>
      </c>
      <c r="F59" s="602">
        <f>D_AGRVA!F59/D_AGRVO!F58</f>
        <v>1.0057393777183006</v>
      </c>
      <c r="G59" s="602">
        <f>D_AGRVA!G59/D_AGRVO!G58</f>
        <v>1.3037373868046565</v>
      </c>
      <c r="H59" s="602">
        <f>D_AGRVA!H59/D_AGRVO!H58</f>
        <v>2.7330943082675523</v>
      </c>
      <c r="I59" s="624">
        <f>D_AGRVA!I59/D_AGRVO!I58</f>
        <v>5.5941282051282046</v>
      </c>
      <c r="J59" s="757"/>
      <c r="K59" s="758"/>
      <c r="L59" s="760"/>
      <c r="M59" s="758"/>
      <c r="N59" s="758"/>
      <c r="O59" s="758"/>
      <c r="P59" s="758"/>
      <c r="Q59" s="758"/>
      <c r="R59" s="758"/>
    </row>
    <row r="60" spans="1:18" s="759" customFormat="1" ht="15" customHeight="1" x14ac:dyDescent="0.2">
      <c r="A60" s="746" t="s">
        <v>243</v>
      </c>
      <c r="B60" s="602">
        <f>D_AGRVA!B60/D_AGRVO!B59</f>
        <v>1.4238568182811202</v>
      </c>
      <c r="C60" s="602">
        <f>D_AGRVA!C60/D_AGRVO!C59</f>
        <v>0.91806974273355091</v>
      </c>
      <c r="D60" s="602">
        <f>D_AGRVA!D60/D_AGRVO!D59</f>
        <v>0.38916709677419353</v>
      </c>
      <c r="E60" s="602">
        <f>D_AGRVA!E60/D_AGRVO!E59</f>
        <v>1.3091426814268143</v>
      </c>
      <c r="F60" s="602">
        <f>D_AGRVA!F60/D_AGRVO!F59</f>
        <v>1.3044898785425101</v>
      </c>
      <c r="G60" s="602">
        <f>D_AGRVA!G60/D_AGRVO!G59</f>
        <v>2.1307591397849488</v>
      </c>
      <c r="H60" s="602">
        <f>D_AGRVA!H60/D_AGRVO!H59</f>
        <v>3.2807494875882495</v>
      </c>
      <c r="I60" s="624">
        <f>D_AGRVA!I60/D_AGRVO!I59</f>
        <v>9.7238095238095212</v>
      </c>
      <c r="J60" s="757"/>
      <c r="K60" s="758"/>
      <c r="L60" s="760"/>
      <c r="M60" s="758"/>
      <c r="N60" s="758"/>
      <c r="O60" s="758"/>
      <c r="P60" s="758"/>
      <c r="Q60" s="758"/>
      <c r="R60" s="758"/>
    </row>
    <row r="61" spans="1:18" s="759" customFormat="1" ht="15" customHeight="1" x14ac:dyDescent="0.2">
      <c r="A61" s="746" t="s">
        <v>244</v>
      </c>
      <c r="B61" s="602">
        <f>D_AGRVA!B61/D_AGRVO!B60</f>
        <v>1.018825865650179</v>
      </c>
      <c r="C61" s="602">
        <f>D_AGRVA!C61/D_AGRVO!C60</f>
        <v>0.95309586133710655</v>
      </c>
      <c r="D61" s="602">
        <f>D_AGRVA!D61/D_AGRVO!D60</f>
        <v>0.46864398590840461</v>
      </c>
      <c r="E61" s="602">
        <f>D_AGRVA!E61/D_AGRVO!E60</f>
        <v>0.83482606837606821</v>
      </c>
      <c r="F61" s="602">
        <f>D_AGRVA!F61/D_AGRVO!F60</f>
        <v>1.0534674731796392</v>
      </c>
      <c r="G61" s="602">
        <f>D_AGRVA!G61/D_AGRVO!G60</f>
        <v>3.1228630824372745</v>
      </c>
      <c r="H61" s="602">
        <f>D_AGRVA!H61/D_AGRVO!H60</f>
        <v>2.0365054773082938</v>
      </c>
      <c r="I61" s="624">
        <f>D_AGRVA!I61/D_AGRVO!I60</f>
        <v>8.679333333333334</v>
      </c>
      <c r="J61" s="757"/>
      <c r="K61" s="758"/>
      <c r="L61" s="760"/>
      <c r="M61" s="758"/>
      <c r="N61" s="758"/>
      <c r="O61" s="758"/>
      <c r="P61" s="758"/>
      <c r="Q61" s="758"/>
      <c r="R61" s="758"/>
    </row>
    <row r="62" spans="1:18" s="759" customFormat="1" ht="15" customHeight="1" x14ac:dyDescent="0.2">
      <c r="A62" s="746" t="s">
        <v>245</v>
      </c>
      <c r="B62" s="602">
        <f>D_AGRVA!B62/D_AGRVO!B61</f>
        <v>0.93083309315731977</v>
      </c>
      <c r="C62" s="602">
        <f>D_AGRVA!C62/D_AGRVO!C61</f>
        <v>1.0406366777423306</v>
      </c>
      <c r="D62" s="602">
        <f>D_AGRVA!D62/D_AGRVO!D61</f>
        <v>0.41042015347206867</v>
      </c>
      <c r="E62" s="602">
        <f>D_AGRVA!E62/D_AGRVO!E61</f>
        <v>0.74509514986376024</v>
      </c>
      <c r="F62" s="602">
        <f>D_AGRVA!F62/D_AGRVO!F61</f>
        <v>1.0221639874302944</v>
      </c>
      <c r="G62" s="602">
        <f>D_AGRVA!G62/D_AGRVO!G61</f>
        <v>1.195584350721435</v>
      </c>
      <c r="H62" s="602">
        <f>D_AGRVA!H62/D_AGRVO!H61</f>
        <v>2.1645200928412143</v>
      </c>
      <c r="I62" s="624">
        <f>D_AGRVA!I62/D_AGRVO!I61</f>
        <v>11.512500000000001</v>
      </c>
      <c r="J62" s="757"/>
      <c r="K62" s="758"/>
      <c r="L62" s="760"/>
      <c r="M62" s="758"/>
      <c r="N62" s="758"/>
      <c r="O62" s="758"/>
      <c r="P62" s="758"/>
      <c r="Q62" s="758"/>
      <c r="R62" s="758"/>
    </row>
    <row r="63" spans="1:18" s="759" customFormat="1" ht="15" customHeight="1" x14ac:dyDescent="0.2">
      <c r="A63" s="746" t="s">
        <v>246</v>
      </c>
      <c r="B63" s="602">
        <f>D_AGRVA!B63/D_AGRVO!B62</f>
        <v>1.3043502532600497</v>
      </c>
      <c r="C63" s="602">
        <f>D_AGRVA!C63/D_AGRVO!C62</f>
        <v>0.81103179753406873</v>
      </c>
      <c r="D63" s="602">
        <f>D_AGRVA!D63/D_AGRVO!D62</f>
        <v>0.60345770750988148</v>
      </c>
      <c r="E63" s="602">
        <f>D_AGRVA!E63/D_AGRVO!E62</f>
        <v>1.0775844402277039</v>
      </c>
      <c r="F63" s="602">
        <f>D_AGRVA!F63/D_AGRVO!F62</f>
        <v>1.1265607508532425</v>
      </c>
      <c r="G63" s="602">
        <f>D_AGRVA!G63/D_AGRVO!G62</f>
        <v>3.7147967213114703</v>
      </c>
      <c r="H63" s="602">
        <f>D_AGRVA!H63/D_AGRVO!H62</f>
        <v>4.9384673242909987</v>
      </c>
      <c r="I63" s="624">
        <f>D_AGRVA!I63/D_AGRVO!I62</f>
        <v>13.071555555555557</v>
      </c>
      <c r="J63" s="757"/>
      <c r="K63" s="758"/>
      <c r="L63" s="760"/>
      <c r="M63" s="758"/>
      <c r="N63" s="758"/>
      <c r="O63" s="758"/>
      <c r="P63" s="758"/>
      <c r="Q63" s="758"/>
      <c r="R63" s="758"/>
    </row>
    <row r="64" spans="1:18" s="759" customFormat="1" ht="15" customHeight="1" x14ac:dyDescent="0.2">
      <c r="A64" s="746" t="s">
        <v>247</v>
      </c>
      <c r="B64" s="602">
        <f>D_AGRVA!B64/D_AGRVO!B63</f>
        <v>1.4347778077753779</v>
      </c>
      <c r="C64" s="602">
        <f>D_AGRVA!C64/D_AGRVO!C63</f>
        <v>0.95116864771748488</v>
      </c>
      <c r="D64" s="602">
        <f>D_AGRVA!D64/D_AGRVO!D63</f>
        <v>0.63491099099099091</v>
      </c>
      <c r="E64" s="602">
        <f>D_AGRVA!E64/D_AGRVO!E63</f>
        <v>1.1653121951219512</v>
      </c>
      <c r="F64" s="602">
        <f>D_AGRVA!F64/D_AGRVO!F63</f>
        <v>1.2225752993708139</v>
      </c>
      <c r="G64" s="602">
        <f>D_AGRVA!G64/D_AGRVO!G63</f>
        <v>4.2770644329896941</v>
      </c>
      <c r="H64" s="602">
        <f>D_AGRVA!H64/D_AGRVO!H63</f>
        <v>3.6378964401294493</v>
      </c>
      <c r="I64" s="624">
        <f>D_AGRVA!I64/D_AGRVO!I63</f>
        <v>10.445833333333335</v>
      </c>
      <c r="J64" s="757"/>
      <c r="K64" s="758"/>
      <c r="L64" s="760"/>
      <c r="M64" s="758"/>
      <c r="N64" s="758"/>
      <c r="O64" s="758"/>
      <c r="P64" s="758"/>
      <c r="Q64" s="758"/>
      <c r="R64" s="758"/>
    </row>
    <row r="65" spans="1:18" s="759" customFormat="1" ht="15" customHeight="1" x14ac:dyDescent="0.2">
      <c r="A65" s="746" t="s">
        <v>248</v>
      </c>
      <c r="B65" s="602">
        <f>D_AGRVA!B65/D_AGRVO!B64</f>
        <v>1.0689020145758861</v>
      </c>
      <c r="C65" s="602">
        <f>D_AGRVA!C65/D_AGRVO!C64</f>
        <v>1.0222250083958357</v>
      </c>
      <c r="D65" s="602">
        <f>D_AGRVA!D65/D_AGRVO!D64</f>
        <v>0.58298690135079823</v>
      </c>
      <c r="E65" s="602">
        <f>D_AGRVA!E65/D_AGRVO!E64</f>
        <v>1.2351816406249998</v>
      </c>
      <c r="F65" s="602">
        <f>D_AGRVA!F65/D_AGRVO!F64</f>
        <v>0.86526661169851593</v>
      </c>
      <c r="G65" s="602">
        <f>D_AGRVA!G65/D_AGRVO!G64</f>
        <v>3.1457080851063859</v>
      </c>
      <c r="H65" s="602">
        <f>D_AGRVA!H65/D_AGRVO!H64</f>
        <v>2.3272743621915519</v>
      </c>
      <c r="I65" s="624">
        <f>D_AGRVA!I65/D_AGRVO!I64</f>
        <v>18.966266666666666</v>
      </c>
      <c r="J65" s="757"/>
      <c r="K65" s="758"/>
      <c r="L65" s="760"/>
      <c r="M65" s="758"/>
      <c r="N65" s="758"/>
      <c r="O65" s="758"/>
      <c r="P65" s="758"/>
      <c r="Q65" s="758"/>
      <c r="R65" s="758"/>
    </row>
    <row r="66" spans="1:18" s="759" customFormat="1" ht="15" customHeight="1" x14ac:dyDescent="0.2">
      <c r="A66" s="746" t="s">
        <v>249</v>
      </c>
      <c r="B66" s="602">
        <f>D_AGRVA!B66/D_AGRVO!B65</f>
        <v>1.4004292431639165</v>
      </c>
      <c r="C66" s="602">
        <f>D_AGRVA!C66/D_AGRVO!C65</f>
        <v>0.88346305418719229</v>
      </c>
      <c r="D66" s="602">
        <f>D_AGRVA!D66/D_AGRVO!D65</f>
        <v>0.54525023854961829</v>
      </c>
      <c r="E66" s="602">
        <f>D_AGRVA!E66/D_AGRVO!E65</f>
        <v>0.73605814739688968</v>
      </c>
      <c r="F66" s="602">
        <f>D_AGRVA!F66/D_AGRVO!F65</f>
        <v>1.126958683105981</v>
      </c>
      <c r="G66" s="602">
        <f>D_AGRVA!G66/D_AGRVO!G65</f>
        <v>2.6979894736842098</v>
      </c>
      <c r="H66" s="602">
        <f>D_AGRVA!H66/D_AGRVO!H65</f>
        <v>5.6836034169392944</v>
      </c>
      <c r="I66" s="624">
        <f>D_AGRVA!I66/D_AGRVO!I65</f>
        <v>23.095925925925926</v>
      </c>
      <c r="J66" s="757"/>
      <c r="K66" s="758"/>
      <c r="L66" s="758"/>
      <c r="M66" s="758"/>
      <c r="N66" s="758"/>
      <c r="O66" s="758"/>
      <c r="P66" s="758"/>
      <c r="Q66" s="758"/>
      <c r="R66" s="758"/>
    </row>
    <row r="67" spans="1:18" s="759" customFormat="1" ht="15" customHeight="1" x14ac:dyDescent="0.2">
      <c r="A67" s="746" t="s">
        <v>250</v>
      </c>
      <c r="B67" s="602">
        <f>D_AGRVA!B67/D_AGRVO!B66</f>
        <v>1.3658724924755734</v>
      </c>
      <c r="C67" s="602">
        <f>D_AGRVA!C67/D_AGRVO!C66</f>
        <v>0.93707703595011016</v>
      </c>
      <c r="D67" s="602">
        <f>D_AGRVA!D67/D_AGRVO!D66</f>
        <v>0.58223522388059701</v>
      </c>
      <c r="E67" s="602">
        <f>D_AGRVA!E67/D_AGRVO!E66</f>
        <v>1.0099748953974894</v>
      </c>
      <c r="F67" s="602">
        <f>D_AGRVA!F67/D_AGRVO!F66</f>
        <v>1.0935457190082647</v>
      </c>
      <c r="G67" s="602">
        <f>D_AGRVA!G67/D_AGRVO!G66</f>
        <v>2.8867994722955004</v>
      </c>
      <c r="H67" s="602">
        <f>D_AGRVA!H67/D_AGRVO!H66</f>
        <v>4.9351064186358311</v>
      </c>
      <c r="I67" s="624">
        <f>D_AGRVA!I67/D_AGRVO!I66</f>
        <v>21.931653846153843</v>
      </c>
      <c r="J67" s="757"/>
      <c r="K67" s="758"/>
      <c r="L67" s="758"/>
      <c r="M67" s="758"/>
      <c r="N67" s="758"/>
      <c r="O67" s="758"/>
      <c r="P67" s="758"/>
      <c r="Q67" s="758"/>
      <c r="R67" s="758"/>
    </row>
    <row r="68" spans="1:18" s="759" customFormat="1" ht="15" customHeight="1" x14ac:dyDescent="0.2">
      <c r="A68" s="746" t="s">
        <v>251</v>
      </c>
      <c r="B68" s="602">
        <f>D_AGRVA!B68/D_AGRVO!B67</f>
        <v>1.5969209214910154</v>
      </c>
      <c r="C68" s="602">
        <f>D_AGRVA!C68/D_AGRVO!C67</f>
        <v>1.4534223000072923</v>
      </c>
      <c r="D68" s="602">
        <f>D_AGRVA!D68/D_AGRVO!D67</f>
        <v>0.60619793640766495</v>
      </c>
      <c r="E68" s="602">
        <f>D_AGRVA!E68/D_AGRVO!E67</f>
        <v>1.8460000000000001</v>
      </c>
      <c r="F68" s="602">
        <f>D_AGRVA!F68/D_AGRVO!F67</f>
        <v>1.5824223199560199</v>
      </c>
      <c r="G68" s="602">
        <f>D_AGRVA!G68/D_AGRVO!G67</f>
        <v>4.3304719764011637</v>
      </c>
      <c r="H68" s="602">
        <f>D_AGRVA!H68/D_AGRVO!H67</f>
        <v>2.3978442254745689</v>
      </c>
      <c r="I68" s="624">
        <f>D_AGRVA!I68/D_AGRVO!I67</f>
        <v>13.630956521739126</v>
      </c>
      <c r="J68" s="757"/>
      <c r="K68" s="758"/>
      <c r="L68" s="758"/>
      <c r="M68" s="758"/>
      <c r="N68" s="758"/>
      <c r="O68" s="758"/>
      <c r="P68" s="758"/>
      <c r="Q68" s="758"/>
      <c r="R68" s="758"/>
    </row>
    <row r="69" spans="1:18" s="759" customFormat="1" ht="15" customHeight="1" x14ac:dyDescent="0.2">
      <c r="A69" s="746" t="s">
        <v>252</v>
      </c>
      <c r="B69" s="602">
        <f>D_AGRVA!B69/D_AGRVO!B68</f>
        <v>1.7107486029956875</v>
      </c>
      <c r="C69" s="602">
        <f>D_AGRVA!C69/D_AGRVO!C68</f>
        <v>2.0965684113318841</v>
      </c>
      <c r="D69" s="602">
        <f>D_AGRVA!D69/D_AGRVO!D68</f>
        <v>1.000180412371134</v>
      </c>
      <c r="E69" s="602">
        <f>D_AGRVA!E69/D_AGRVO!E68</f>
        <v>3.0328822714681443</v>
      </c>
      <c r="F69" s="602">
        <f>D_AGRVA!F69/D_AGRVO!F68</f>
        <v>0.94784081484761862</v>
      </c>
      <c r="G69" s="602">
        <f>D_AGRVA!G69/D_AGRVO!G68</f>
        <v>19.240541324921253</v>
      </c>
      <c r="H69" s="602">
        <f>D_AGRVA!H69/D_AGRVO!H68</f>
        <v>3.6613227558300494</v>
      </c>
      <c r="I69" s="624">
        <f>D_AGRVA!I69/D_AGRVO!I68</f>
        <v>24.373648648648651</v>
      </c>
      <c r="J69" s="757"/>
      <c r="K69" s="758"/>
      <c r="L69" s="758"/>
      <c r="M69" s="758"/>
      <c r="N69" s="758"/>
      <c r="O69" s="758"/>
      <c r="P69" s="758"/>
      <c r="Q69" s="758"/>
      <c r="R69" s="758"/>
    </row>
    <row r="70" spans="1:18" ht="15" customHeight="1" x14ac:dyDescent="0.2">
      <c r="A70" s="746" t="s">
        <v>253</v>
      </c>
      <c r="B70" s="602">
        <f>D_AGRVA!B70/D_AGRVO!B69</f>
        <v>1.5007550816429591</v>
      </c>
      <c r="C70" s="602">
        <f>D_AGRVA!C70/D_AGRVO!C69</f>
        <v>1.3590978887569951</v>
      </c>
      <c r="D70" s="602">
        <f>D_AGRVA!D70/D_AGRVO!D69</f>
        <v>0.6986354153415596</v>
      </c>
      <c r="E70" s="602">
        <f>D_AGRVA!E70/D_AGRVO!E69</f>
        <v>1.2017156250000001</v>
      </c>
      <c r="F70" s="602">
        <f>D_AGRVA!F70/D_AGRVO!F69</f>
        <v>1.2640095213202898</v>
      </c>
      <c r="G70" s="602">
        <f>D_AGRVA!G70/D_AGRVO!G69</f>
        <v>4.4239105084745658</v>
      </c>
      <c r="H70" s="602">
        <f>D_AGRVA!H70/D_AGRVO!H69</f>
        <v>3.1191299704612598</v>
      </c>
      <c r="I70" s="624">
        <f>D_AGRVA!I70/D_AGRVO!I69</f>
        <v>24.187499999999996</v>
      </c>
    </row>
    <row r="71" spans="1:18" ht="15" customHeight="1" x14ac:dyDescent="0.2">
      <c r="A71" s="746" t="s">
        <v>254</v>
      </c>
      <c r="B71" s="602">
        <f>D_AGRVA!B71/D_AGRVO!B70</f>
        <v>1.5710350283090841</v>
      </c>
      <c r="C71" s="602">
        <f>D_AGRVA!C71/D_AGRVO!C70</f>
        <v>1.3231982951653944</v>
      </c>
      <c r="D71" s="602">
        <f>D_AGRVA!D71/D_AGRVO!D70</f>
        <v>0.57453596614950642</v>
      </c>
      <c r="E71" s="602">
        <f>D_AGRVA!E71/D_AGRVO!E70</f>
        <v>1.5219023058252426</v>
      </c>
      <c r="F71" s="602">
        <f>D_AGRVA!F71/D_AGRVO!F70</f>
        <v>1.4007074617031789</v>
      </c>
      <c r="G71" s="602">
        <f>D_AGRVA!G71/D_AGRVO!G70</f>
        <v>1.5267996732026132</v>
      </c>
      <c r="H71" s="602">
        <f>D_AGRVA!H71/D_AGRVO!H70</f>
        <v>4.225155814250992</v>
      </c>
      <c r="I71" s="624">
        <f>D_AGRVA!I71/D_AGRVO!I70</f>
        <v>18.772293577981653</v>
      </c>
    </row>
    <row r="72" spans="1:18" ht="15" customHeight="1" x14ac:dyDescent="0.2">
      <c r="A72" s="746" t="s">
        <v>255</v>
      </c>
      <c r="B72" s="602">
        <f>D_AGRVA!B72/D_AGRVO!B71</f>
        <v>1.5039088115461643</v>
      </c>
      <c r="C72" s="602">
        <f>D_AGRVA!C72/D_AGRVO!C71</f>
        <v>1.0405068667704942</v>
      </c>
      <c r="D72" s="602">
        <f>D_AGRVA!D72/D_AGRVO!D71</f>
        <v>0.55330505352826054</v>
      </c>
      <c r="E72" s="602">
        <f>D_AGRVA!E72/D_AGRVO!E71</f>
        <v>2.0062333125389893</v>
      </c>
      <c r="F72" s="602">
        <f>D_AGRVA!F72/D_AGRVO!F71</f>
        <v>1.5159472803347283</v>
      </c>
      <c r="G72" s="602">
        <f>D_AGRVA!G72/D_AGRVO!G71</f>
        <v>4.2806677018633668</v>
      </c>
      <c r="H72" s="602">
        <f>D_AGRVA!H72/D_AGRVO!H71</f>
        <v>3.2027065108847617</v>
      </c>
      <c r="I72" s="624">
        <f>D_AGRVA!I72/D_AGRVO!I71</f>
        <v>21.771189189189187</v>
      </c>
    </row>
    <row r="73" spans="1:18" ht="15" customHeight="1" x14ac:dyDescent="0.2">
      <c r="A73" s="746" t="s">
        <v>256</v>
      </c>
      <c r="B73" s="602">
        <f>D_AGRVA!B73/D_AGRVO!B72</f>
        <v>1.4385543134872418</v>
      </c>
      <c r="C73" s="602">
        <f>D_AGRVA!C73/D_AGRVO!C72</f>
        <v>1.0124256899734365</v>
      </c>
      <c r="D73" s="602">
        <f>D_AGRVA!D73/D_AGRVO!D72</f>
        <v>0.5669362405704248</v>
      </c>
      <c r="E73" s="602">
        <f>D_AGRVA!E73/D_AGRVO!E72</f>
        <v>1.8175565052231717</v>
      </c>
      <c r="F73" s="602">
        <f>D_AGRVA!F73/D_AGRVO!F72</f>
        <v>1.2835996307000641</v>
      </c>
      <c r="G73" s="602">
        <f>D_AGRVA!G73/D_AGRVO!G72</f>
        <v>3.0444082066869314</v>
      </c>
      <c r="H73" s="602">
        <f>D_AGRVA!H73/D_AGRVO!H72</f>
        <v>2.4726636160885951</v>
      </c>
      <c r="I73" s="624">
        <f>D_AGRVA!I73/D_AGRVO!I72</f>
        <v>21.456685714285719</v>
      </c>
    </row>
    <row r="74" spans="1:18" s="759" customFormat="1" ht="15" customHeight="1" x14ac:dyDescent="0.2">
      <c r="A74" s="746" t="s">
        <v>257</v>
      </c>
      <c r="B74" s="602">
        <f>D_AGRVA!B74/D_AGRVO!B73</f>
        <v>1.463111797291752</v>
      </c>
      <c r="C74" s="602">
        <f>D_AGRVA!C74/D_AGRVO!C73</f>
        <v>1.239596551544512</v>
      </c>
      <c r="D74" s="602">
        <f>D_AGRVA!D74/D_AGRVO!D73</f>
        <v>0.68979992275009649</v>
      </c>
      <c r="E74" s="602">
        <f>D_AGRVA!E74/D_AGRVO!E73</f>
        <v>1.2810584088620343</v>
      </c>
      <c r="F74" s="602">
        <f>D_AGRVA!F74/D_AGRVO!F73</f>
        <v>1.1234172916065763</v>
      </c>
      <c r="G74" s="602">
        <f>D_AGRVA!G74/D_AGRVO!G73</f>
        <v>2.2918680104031197</v>
      </c>
      <c r="H74" s="602">
        <f>D_AGRVA!H74/D_AGRVO!H73</f>
        <v>4.4140496634950113</v>
      </c>
      <c r="I74" s="624">
        <f>D_AGRVA!I74/D_AGRVO!I73</f>
        <v>19.854559999999999</v>
      </c>
      <c r="J74" s="757"/>
      <c r="K74" s="758"/>
      <c r="L74" s="758"/>
      <c r="M74" s="758"/>
      <c r="N74" s="758"/>
      <c r="O74" s="758"/>
      <c r="P74" s="758"/>
      <c r="Q74" s="758"/>
      <c r="R74" s="758"/>
    </row>
    <row r="75" spans="1:18" s="759" customFormat="1" ht="15" customHeight="1" x14ac:dyDescent="0.2">
      <c r="A75" s="746" t="s">
        <v>258</v>
      </c>
      <c r="B75" s="602">
        <f>D_AGRVA!B75/D_AGRVO!B74</f>
        <v>1.1111836650160978</v>
      </c>
      <c r="C75" s="602">
        <f>D_AGRVA!C75/D_AGRVO!C74</f>
        <v>0.9569055639589551</v>
      </c>
      <c r="D75" s="602">
        <f>D_AGRVA!D75/D_AGRVO!D74</f>
        <v>0.54130752357973233</v>
      </c>
      <c r="E75" s="602">
        <f>D_AGRVA!E75/D_AGRVO!E74</f>
        <v>1.1254265103697023</v>
      </c>
      <c r="F75" s="602">
        <f>D_AGRVA!F75/D_AGRVO!F74</f>
        <v>0.84362166344293998</v>
      </c>
      <c r="G75" s="602">
        <f>D_AGRVA!G75/D_AGRVO!G74</f>
        <v>1.5100326594090223</v>
      </c>
      <c r="H75" s="602">
        <f>D_AGRVA!H75/D_AGRVO!H74</f>
        <v>3.5586952990401199</v>
      </c>
      <c r="I75" s="624">
        <f>D_AGRVA!I75/D_AGRVO!I74</f>
        <v>14.059602649006623</v>
      </c>
      <c r="J75" s="757"/>
      <c r="K75" s="758"/>
      <c r="L75" s="758"/>
      <c r="M75" s="758"/>
      <c r="N75" s="758"/>
      <c r="O75" s="758"/>
      <c r="P75" s="758"/>
      <c r="Q75" s="758"/>
      <c r="R75" s="758"/>
    </row>
    <row r="76" spans="1:18" s="759" customFormat="1" ht="15" customHeight="1" x14ac:dyDescent="0.2">
      <c r="A76" s="746" t="s">
        <v>259</v>
      </c>
      <c r="B76" s="602">
        <f>D_AGRVA!B76/D_AGRVO!B75</f>
        <v>1.1669253283930849</v>
      </c>
      <c r="C76" s="602">
        <f>D_AGRVA!C76/D_AGRVO!C75</f>
        <v>0.82575736816950762</v>
      </c>
      <c r="D76" s="602">
        <f>D_AGRVA!D76/D_AGRVO!D75</f>
        <v>0.52140106883008175</v>
      </c>
      <c r="E76" s="602">
        <f>D_AGRVA!E76/D_AGRVO!E75</f>
        <v>1.0611588541666668</v>
      </c>
      <c r="F76" s="602">
        <f>D_AGRVA!F76/D_AGRVO!F75</f>
        <v>1.3848573825503356</v>
      </c>
      <c r="G76" s="602">
        <f>D_AGRVA!G76/D_AGRVO!G75</f>
        <v>2.5313730743469578</v>
      </c>
      <c r="H76" s="602">
        <f>D_AGRVA!H76/D_AGRVO!H75</f>
        <v>3.0222203444913873</v>
      </c>
      <c r="I76" s="624">
        <f>D_AGRVA!I76/D_AGRVO!I75</f>
        <v>15.704320987654322</v>
      </c>
      <c r="J76" s="757"/>
      <c r="K76" s="758"/>
      <c r="L76" s="758"/>
      <c r="M76" s="758"/>
      <c r="N76" s="758"/>
      <c r="O76" s="758"/>
      <c r="P76" s="758"/>
      <c r="Q76" s="758"/>
      <c r="R76" s="758"/>
    </row>
    <row r="77" spans="1:18" ht="15" customHeight="1" x14ac:dyDescent="0.2">
      <c r="A77" s="746" t="s">
        <v>260</v>
      </c>
      <c r="B77" s="602">
        <f>D_AGRVA!B77/D_AGRVO!B76</f>
        <v>1.1431243090920382</v>
      </c>
      <c r="C77" s="602">
        <f>D_AGRVA!C77/D_AGRVO!C76</f>
        <v>0.76275889855072476</v>
      </c>
      <c r="D77" s="602">
        <f>D_AGRVA!D77/D_AGRVO!D76</f>
        <v>0.5363384941210837</v>
      </c>
      <c r="E77" s="602">
        <f>D_AGRVA!E77/D_AGRVO!E76</f>
        <v>1.1013356231599605</v>
      </c>
      <c r="F77" s="602">
        <f>D_AGRVA!F77/D_AGRVO!F76</f>
        <v>0.95441773947196151</v>
      </c>
      <c r="G77" s="602">
        <f>D_AGRVA!G77/D_AGRVO!G76</f>
        <v>2.6734256823090523</v>
      </c>
      <c r="H77" s="602">
        <f>D_AGRVA!H77/D_AGRVO!H76</f>
        <v>2.4335828208176133</v>
      </c>
      <c r="I77" s="624">
        <f>D_AGRVA!I77/D_AGRVO!I76</f>
        <v>10.896943231441048</v>
      </c>
    </row>
    <row r="78" spans="1:18" ht="15" customHeight="1" x14ac:dyDescent="0.2">
      <c r="A78" s="746" t="s">
        <v>261</v>
      </c>
      <c r="B78" s="602">
        <f>D_AGRVA!B78/D_AGRVO!B77</f>
        <v>1.2669462163489107</v>
      </c>
      <c r="C78" s="602">
        <f>D_AGRVA!C78/D_AGRVO!C77</f>
        <v>0.88418904024314338</v>
      </c>
      <c r="D78" s="602">
        <f>D_AGRVA!D78/D_AGRVO!D77</f>
        <v>0.48763932377318775</v>
      </c>
      <c r="E78" s="602">
        <f>D_AGRVA!E78/D_AGRVO!E77</f>
        <v>0.95442315789473675</v>
      </c>
      <c r="F78" s="602">
        <f>D_AGRVA!F78/D_AGRVO!F77</f>
        <v>0.93172013126172004</v>
      </c>
      <c r="G78" s="602">
        <f>D_AGRVA!G78/D_AGRVO!G77</f>
        <v>2.6087890944498517</v>
      </c>
      <c r="H78" s="602">
        <f>D_AGRVA!H78/D_AGRVO!H77</f>
        <v>3.5216400970888335</v>
      </c>
      <c r="I78" s="624">
        <f>D_AGRVA!I78/D_AGRVO!I77</f>
        <v>12.104191616766466</v>
      </c>
    </row>
    <row r="79" spans="1:18" ht="15" customHeight="1" x14ac:dyDescent="0.2">
      <c r="A79" s="746" t="s">
        <v>262</v>
      </c>
      <c r="B79" s="602">
        <f>D_AGRVA!B79/D_AGRVO!B78</f>
        <v>1.1161209997115231</v>
      </c>
      <c r="C79" s="602">
        <f>D_AGRVA!C79/D_AGRVO!C78</f>
        <v>0.9685988917521432</v>
      </c>
      <c r="D79" s="602">
        <f>D_AGRVA!D79/D_AGRVO!D78</f>
        <v>0.44100061236987148</v>
      </c>
      <c r="E79" s="602">
        <f>D_AGRVA!E79/D_AGRVO!E78</f>
        <v>1.0452938470385278</v>
      </c>
      <c r="F79" s="602">
        <f>D_AGRVA!F79/D_AGRVO!F78</f>
        <v>1.0711237451341937</v>
      </c>
      <c r="G79" s="602">
        <f>D_AGRVA!G79/D_AGRVO!G78</f>
        <v>2.9916053946053887</v>
      </c>
      <c r="H79" s="602">
        <f>D_AGRVA!H79/D_AGRVO!H78</f>
        <v>4.1986269344748113</v>
      </c>
      <c r="I79" s="624">
        <f>D_AGRVA!I79/D_AGRVO!I78</f>
        <v>22.764590909090909</v>
      </c>
    </row>
    <row r="80" spans="1:18" ht="15" customHeight="1" x14ac:dyDescent="0.2">
      <c r="A80" s="746" t="s">
        <v>263</v>
      </c>
      <c r="B80" s="602">
        <f>D_AGRVA!B80/D_AGRVO!B79</f>
        <v>1.1549574356821408</v>
      </c>
      <c r="C80" s="602">
        <f>D_AGRVA!C80/D_AGRVO!C79</f>
        <v>1.0187164697382831</v>
      </c>
      <c r="D80" s="602">
        <f>D_AGRVA!D80/D_AGRVO!D79</f>
        <v>0.52897816440915457</v>
      </c>
      <c r="E80" s="602">
        <f>D_AGRVA!E80/D_AGRVO!E79</f>
        <v>1.1032574734811957</v>
      </c>
      <c r="F80" s="602">
        <f>D_AGRVA!F80/D_AGRVO!F79</f>
        <v>1.4191236839306605</v>
      </c>
      <c r="G80" s="602">
        <f>D_AGRVA!G80/D_AGRVO!G79</f>
        <v>2.258235294117652</v>
      </c>
      <c r="H80" s="602">
        <f>D_AGRVA!H80/D_AGRVO!H79</f>
        <v>2.577134685948629</v>
      </c>
      <c r="I80" s="624">
        <f>D_AGRVA!I80/D_AGRVO!I79</f>
        <v>17.599999999999998</v>
      </c>
    </row>
    <row r="81" spans="1:9" ht="15" customHeight="1" x14ac:dyDescent="0.2">
      <c r="A81" s="746" t="s">
        <v>264</v>
      </c>
      <c r="B81" s="602">
        <f>D_AGRVA!B81/D_AGRVO!B80</f>
        <v>1.1087251990138542</v>
      </c>
      <c r="C81" s="602">
        <f>D_AGRVA!C81/D_AGRVO!C80</f>
        <v>1.0621543715846995</v>
      </c>
      <c r="D81" s="602">
        <f>D_AGRVA!D81/D_AGRVO!D80</f>
        <v>0.46979004837595023</v>
      </c>
      <c r="E81" s="602">
        <f>D_AGRVA!E81/D_AGRVO!E80</f>
        <v>1.0030841320553778</v>
      </c>
      <c r="F81" s="602">
        <f>D_AGRVA!F81/D_AGRVO!F80</f>
        <v>1.0281370217382233</v>
      </c>
      <c r="G81" s="602">
        <f>D_AGRVA!G81/D_AGRVO!G80</f>
        <v>2.5103055043455353</v>
      </c>
      <c r="H81" s="602">
        <f>D_AGRVA!H81/D_AGRVO!H80</f>
        <v>2.1270425226946967</v>
      </c>
      <c r="I81" s="624">
        <f>D_AGRVA!I81/D_AGRVO!I80</f>
        <v>16.465224489795919</v>
      </c>
    </row>
    <row r="82" spans="1:9" ht="15" customHeight="1" x14ac:dyDescent="0.2">
      <c r="A82" s="794" t="s">
        <v>265</v>
      </c>
      <c r="B82" s="585">
        <f>D_AGRVA!B82/D_AGRVO!B81</f>
        <v>1.2516461049685594</v>
      </c>
      <c r="C82" s="585">
        <f>D_AGRVA!C82/D_AGRVO!C81</f>
        <v>1.000262765224416</v>
      </c>
      <c r="D82" s="585">
        <f>D_AGRVA!D82/D_AGRVO!D81</f>
        <v>0.49980592131513846</v>
      </c>
      <c r="E82" s="585">
        <f>D_AGRVA!E82/D_AGRVO!E81</f>
        <v>1.1000985687280584</v>
      </c>
      <c r="F82" s="585">
        <f>D_AGRVA!F82/D_AGRVO!F81</f>
        <v>1.0464387132556849</v>
      </c>
      <c r="G82" s="585">
        <f>D_AGRVA!G82/D_AGRVO!G81</f>
        <v>1.9183662364841254</v>
      </c>
      <c r="H82" s="585">
        <f>D_AGRVA!H82/D_AGRVO!H81</f>
        <v>2.9809303596220156</v>
      </c>
      <c r="I82" s="591">
        <f>D_AGRVA!I82/D_AGRVO!I81</f>
        <v>20.098795180722895</v>
      </c>
    </row>
    <row r="83" spans="1:9" ht="15" customHeight="1" x14ac:dyDescent="0.2">
      <c r="A83" s="794" t="s">
        <v>266</v>
      </c>
      <c r="B83" s="585">
        <f>D_AGRVA!B83/D_AGRVO!B82</f>
        <v>1.1063156780155146</v>
      </c>
      <c r="C83" s="585">
        <f>D_AGRVA!C83/D_AGRVO!C82</f>
        <v>0.92862851820589698</v>
      </c>
      <c r="D83" s="585">
        <f>D_AGRVA!D83/D_AGRVO!D82</f>
        <v>0.50187687390609537</v>
      </c>
      <c r="E83" s="585">
        <f>D_AGRVA!E83/D_AGRVO!E82</f>
        <v>1.0585923435075011</v>
      </c>
      <c r="F83" s="585">
        <f>D_AGRVA!F83/D_AGRVO!F82</f>
        <v>1.4194511912640635</v>
      </c>
      <c r="G83" s="585">
        <f>D_AGRVA!G83/D_AGRVO!G82</f>
        <v>2.0257161046111514</v>
      </c>
      <c r="H83" s="585">
        <f>D_AGRVA!H83/D_AGRVO!H82</f>
        <v>3.0581407169189743</v>
      </c>
      <c r="I83" s="591">
        <f>D_AGRVA!I83/D_AGRVO!I82</f>
        <v>15.205882352941176</v>
      </c>
    </row>
    <row r="84" spans="1:9" ht="15" customHeight="1" x14ac:dyDescent="0.2">
      <c r="A84" s="794" t="s">
        <v>267</v>
      </c>
      <c r="B84" s="585">
        <f>D_AGRVA!B84/D_AGRVO!B83</f>
        <v>1.1476271678397796</v>
      </c>
      <c r="C84" s="585">
        <f>D_AGRVA!C84/D_AGRVO!C83</f>
        <v>1.0712598821403845</v>
      </c>
      <c r="D84" s="585">
        <f>D_AGRVA!D84/D_AGRVO!D83</f>
        <v>0.44473505962970278</v>
      </c>
      <c r="E84" s="585">
        <f>D_AGRVA!E84/D_AGRVO!E83</f>
        <v>1.1380807740849812</v>
      </c>
      <c r="F84" s="585">
        <f>D_AGRVA!F84/D_AGRVO!F83</f>
        <v>1.2935364190886258</v>
      </c>
      <c r="G84" s="585">
        <f>D_AGRVA!G84/D_AGRVO!G83</f>
        <v>2.188578605200949</v>
      </c>
      <c r="H84" s="585">
        <f>D_AGRVA!H84/D_AGRVO!H83</f>
        <v>2.4531837236461986</v>
      </c>
      <c r="I84" s="591">
        <f>D_AGRVA!I84/D_AGRVO!I83</f>
        <v>13.396093749999997</v>
      </c>
    </row>
    <row r="85" spans="1:9" ht="15" customHeight="1" x14ac:dyDescent="0.2">
      <c r="A85" s="794" t="s">
        <v>268</v>
      </c>
      <c r="B85" s="585">
        <f>D_AGRVA!B85/D_AGRVO!B84</f>
        <v>1.2174978791788831</v>
      </c>
      <c r="C85" s="585">
        <f>D_AGRVA!C85/D_AGRVO!C84</f>
        <v>1.2524461725067386</v>
      </c>
      <c r="D85" s="585">
        <f>D_AGRVA!D85/D_AGRVO!D84</f>
        <v>0.43404364655632671</v>
      </c>
      <c r="E85" s="585">
        <f>D_AGRVA!E85/D_AGRVO!E84</f>
        <v>0.8828797050834305</v>
      </c>
      <c r="F85" s="585">
        <f>D_AGRVA!F85/D_AGRVO!F84</f>
        <v>1.1423433059307107</v>
      </c>
      <c r="G85" s="585">
        <f>D_AGRVA!G85/D_AGRVO!G84</f>
        <v>1.8963421613394174</v>
      </c>
      <c r="H85" s="585">
        <f>D_AGRVA!H85/D_AGRVO!H84</f>
        <v>1.5595673437421893</v>
      </c>
      <c r="I85" s="591">
        <f>D_AGRVA!I85/D_AGRVO!I84</f>
        <v>17.229411764705883</v>
      </c>
    </row>
    <row r="86" spans="1:9" ht="15" customHeight="1" x14ac:dyDescent="0.2">
      <c r="A86" s="794" t="s">
        <v>269</v>
      </c>
      <c r="B86" s="585">
        <f>D_AGRVA!B86/D_AGRVO!B85</f>
        <v>1.2575196962178488</v>
      </c>
      <c r="C86" s="585">
        <f>D_AGRVA!C86/D_AGRVO!C85</f>
        <v>1.2977289154841958</v>
      </c>
      <c r="D86" s="585">
        <f>D_AGRVA!D86/D_AGRVO!D85</f>
        <v>0.45463422339991855</v>
      </c>
      <c r="E86" s="585">
        <f>D_AGRVA!E86/D_AGRVO!E85</f>
        <v>2.24493170511081</v>
      </c>
      <c r="F86" s="585">
        <f>D_AGRVA!F86/D_AGRVO!F85</f>
        <v>0.97577965386238941</v>
      </c>
      <c r="G86" s="585">
        <f>D_AGRVA!G86/D_AGRVO!G85</f>
        <v>1.8721621425811463</v>
      </c>
      <c r="H86" s="585">
        <f>D_AGRVA!H86/D_AGRVO!H85</f>
        <v>2.9835070869990221</v>
      </c>
      <c r="I86" s="591">
        <f>D_AGRVA!I86/D_AGRVO!I85</f>
        <v>21.716666666666661</v>
      </c>
    </row>
    <row r="87" spans="1:9" ht="15" customHeight="1" x14ac:dyDescent="0.2">
      <c r="A87" s="794" t="s">
        <v>270</v>
      </c>
      <c r="B87" s="585">
        <f>D_AGRVA!B87/D_AGRVO!B86</f>
        <v>1.1742079794290059</v>
      </c>
      <c r="C87" s="585">
        <f>D_AGRVA!C87/D_AGRVO!C86</f>
        <v>1.0821661156244098</v>
      </c>
      <c r="D87" s="585">
        <f>D_AGRVA!D87/D_AGRVO!D86</f>
        <v>0.42993044258373203</v>
      </c>
      <c r="E87" s="585">
        <f>D_AGRVA!E87/D_AGRVO!E86</f>
        <v>0.94606688639007375</v>
      </c>
      <c r="F87" s="585">
        <f>D_AGRVA!F87/D_AGRVO!F86</f>
        <v>1.4843021168501269</v>
      </c>
      <c r="G87" s="585">
        <f>D_AGRVA!G87/D_AGRVO!G86</f>
        <v>1.6781661262635923</v>
      </c>
      <c r="H87" s="585">
        <f>D_AGRVA!H87/D_AGRVO!H86</f>
        <v>3.1998932485918714</v>
      </c>
      <c r="I87" s="591">
        <f>D_AGRVA!I87/D_AGRVO!I86</f>
        <v>19.578787878787878</v>
      </c>
    </row>
    <row r="88" spans="1:9" ht="15" customHeight="1" x14ac:dyDescent="0.2">
      <c r="A88" s="794" t="s">
        <v>271</v>
      </c>
      <c r="B88" s="585">
        <f>D_AGRVA!B88/D_AGRVO!B87</f>
        <v>1.2803424320880594</v>
      </c>
      <c r="C88" s="585">
        <f>D_AGRVA!C88/D_AGRVO!C87</f>
        <v>1.2423148745875183</v>
      </c>
      <c r="D88" s="585">
        <f>D_AGRVA!D88/D_AGRVO!D87</f>
        <v>0.51156259449652253</v>
      </c>
      <c r="E88" s="585">
        <f>D_AGRVA!E88/D_AGRVO!E87</f>
        <v>1.0114868421052632</v>
      </c>
      <c r="F88" s="585">
        <f>D_AGRVA!F88/D_AGRVO!F87</f>
        <v>1.4304257144834269</v>
      </c>
      <c r="G88" s="585">
        <f>D_AGRVA!G88/D_AGRVO!G87</f>
        <v>2.2266878727634296</v>
      </c>
      <c r="H88" s="585">
        <f>D_AGRVA!H88/D_AGRVO!H87</f>
        <v>2.3609906403134175</v>
      </c>
      <c r="I88" s="591">
        <f>D_AGRVA!I88/D_AGRVO!I87</f>
        <v>20.125490196078431</v>
      </c>
    </row>
    <row r="89" spans="1:9" ht="15" customHeight="1" x14ac:dyDescent="0.2">
      <c r="A89" s="794" t="s">
        <v>272</v>
      </c>
      <c r="B89" s="585">
        <f>D_AGRVA!B89/D_AGRVO!B88</f>
        <v>1.3864298172792808</v>
      </c>
      <c r="C89" s="585">
        <f>D_AGRVA!C89/D_AGRVO!C88</f>
        <v>1.0659203569543731</v>
      </c>
      <c r="D89" s="585">
        <f>D_AGRVA!D89/D_AGRVO!D88</f>
        <v>0.54591717503519455</v>
      </c>
      <c r="E89" s="585">
        <f>D_AGRVA!E89/D_AGRVO!E88</f>
        <v>0.92785570586194932</v>
      </c>
      <c r="F89" s="585">
        <f>D_AGRVA!F89/D_AGRVO!F88</f>
        <v>1.9742982009812828</v>
      </c>
      <c r="G89" s="585">
        <f>D_AGRVA!G89/D_AGRVO!G88</f>
        <v>3.4015792564953022</v>
      </c>
      <c r="H89" s="585">
        <f>D_AGRVA!H89/D_AGRVO!H88</f>
        <v>1.9391765963790391</v>
      </c>
      <c r="I89" s="591">
        <f>D_AGRVA!I89/D_AGRVO!I88</f>
        <v>20.050159999999998</v>
      </c>
    </row>
    <row r="90" spans="1:9" ht="15" customHeight="1" x14ac:dyDescent="0.2">
      <c r="A90" s="794" t="s">
        <v>273</v>
      </c>
      <c r="B90" s="585">
        <f>D_AGRVA!B90/D_AGRVO!B89</f>
        <v>1.5254867777233938</v>
      </c>
      <c r="C90" s="585">
        <f>D_AGRVA!C90/D_AGRVO!C89</f>
        <v>1.3320227662085504</v>
      </c>
      <c r="D90" s="585">
        <f>D_AGRVA!D90/D_AGRVO!D89</f>
        <v>0.54030491088601118</v>
      </c>
      <c r="E90" s="585">
        <f>D_AGRVA!E90/D_AGRVO!E89</f>
        <v>1.1179875113533153</v>
      </c>
      <c r="F90" s="585">
        <f>D_AGRVA!F90/D_AGRVO!F89</f>
        <v>1.7944621741154563</v>
      </c>
      <c r="G90" s="585">
        <f>D_AGRVA!G90/D_AGRVO!G89</f>
        <v>2.0574017693715723</v>
      </c>
      <c r="H90" s="585">
        <f>D_AGRVA!H90/D_AGRVO!H89</f>
        <v>2.8142735456226142</v>
      </c>
      <c r="I90" s="591">
        <f>D_AGRVA!I90/D_AGRVO!I89</f>
        <v>17.503260869565221</v>
      </c>
    </row>
    <row r="91" spans="1:9" ht="15" customHeight="1" x14ac:dyDescent="0.2">
      <c r="A91" s="794" t="s">
        <v>274</v>
      </c>
      <c r="B91" s="585">
        <f>D_AGRVA!B91/D_AGRVO!B90</f>
        <v>1.5928017538656574</v>
      </c>
      <c r="C91" s="585">
        <f>D_AGRVA!C91/D_AGRVO!C90</f>
        <v>1.4125309607261618</v>
      </c>
      <c r="D91" s="585">
        <f>D_AGRVA!D91/D_AGRVO!D90</f>
        <v>0.51560747185261002</v>
      </c>
      <c r="E91" s="585">
        <f>D_AGRVA!E91/D_AGRVO!E90</f>
        <v>1.1922168206125425</v>
      </c>
      <c r="F91" s="585">
        <f>D_AGRVA!F91/D_AGRVO!F90</f>
        <v>1.9152880066629652</v>
      </c>
      <c r="G91" s="585">
        <f>D_AGRVA!G91/D_AGRVO!G90</f>
        <v>2.5343911439114386</v>
      </c>
      <c r="H91" s="585">
        <f>D_AGRVA!H91/D_AGRVO!H90</f>
        <v>4.2224022926444329</v>
      </c>
      <c r="I91" s="591">
        <f>D_AGRVA!I91/D_AGRVO!I90</f>
        <v>18.75368493150685</v>
      </c>
    </row>
    <row r="92" spans="1:9" ht="15" customHeight="1" x14ac:dyDescent="0.2">
      <c r="A92" s="794" t="s">
        <v>275</v>
      </c>
      <c r="B92" s="585">
        <f>D_AGRVA!B92/D_AGRVO!B91</f>
        <v>1.6390967026877248</v>
      </c>
      <c r="C92" s="585">
        <f>D_AGRVA!C92/D_AGRVO!C91</f>
        <v>1.512472786113563</v>
      </c>
      <c r="D92" s="585">
        <f>D_AGRVA!D92/D_AGRVO!D91</f>
        <v>0.51380420661923898</v>
      </c>
      <c r="E92" s="585">
        <f>D_AGRVA!E92/D_AGRVO!E91</f>
        <v>1.2284123979213064</v>
      </c>
      <c r="F92" s="585">
        <f>D_AGRVA!F92/D_AGRVO!F91</f>
        <v>2.1188979277273505</v>
      </c>
      <c r="G92" s="585">
        <f>D_AGRVA!G92/D_AGRVO!G91</f>
        <v>2.6351413051735921</v>
      </c>
      <c r="H92" s="585">
        <f>D_AGRVA!H92/D_AGRVO!H91</f>
        <v>2.4557134448574969</v>
      </c>
      <c r="I92" s="591">
        <f>D_AGRVA!I92/D_AGRVO!I91</f>
        <v>20.093649122807019</v>
      </c>
    </row>
    <row r="93" spans="1:9" ht="15" customHeight="1" x14ac:dyDescent="0.2">
      <c r="A93" s="794" t="s">
        <v>276</v>
      </c>
      <c r="B93" s="585">
        <f>D_AGRVA!B93/D_AGRVO!B92</f>
        <v>1.6905886731237179</v>
      </c>
      <c r="C93" s="585">
        <f>D_AGRVA!C93/D_AGRVO!C92</f>
        <v>1.9982420880480909</v>
      </c>
      <c r="D93" s="585">
        <f>D_AGRVA!D93/D_AGRVO!D92</f>
        <v>0.85491052904564313</v>
      </c>
      <c r="E93" s="585">
        <f>D_AGRVA!E93/D_AGRVO!E92</f>
        <v>1.610228755537656</v>
      </c>
      <c r="F93" s="585">
        <f>D_AGRVA!F93/D_AGRVO!F92</f>
        <v>1.5804675847923231</v>
      </c>
      <c r="G93" s="585">
        <f>D_AGRVA!G93/D_AGRVO!G92</f>
        <v>2.9549372308590671</v>
      </c>
      <c r="H93" s="585">
        <f>D_AGRVA!H93/D_AGRVO!H92</f>
        <v>1.2935985504420919</v>
      </c>
      <c r="I93" s="591">
        <f>D_AGRVA!I93/D_AGRVO!I92</f>
        <v>18.843373493975903</v>
      </c>
    </row>
    <row r="94" spans="1:9" ht="15" customHeight="1" x14ac:dyDescent="0.2">
      <c r="A94" s="794" t="s">
        <v>277</v>
      </c>
      <c r="B94" s="585">
        <f>D_AGRVA!B94/D_AGRVO!B93</f>
        <v>2.021818126476028</v>
      </c>
      <c r="C94" s="585">
        <f>D_AGRVA!C94/D_AGRVO!C93</f>
        <v>2.0280835589243824</v>
      </c>
      <c r="D94" s="585">
        <f>D_AGRVA!D94/D_AGRVO!D93</f>
        <v>0.79381685845002081</v>
      </c>
      <c r="E94" s="585">
        <f>D_AGRVA!E94/D_AGRVO!E93</f>
        <v>1.3942752682100505</v>
      </c>
      <c r="F94" s="585">
        <f>D_AGRVA!F94/D_AGRVO!F93</f>
        <v>1.8798300826796694</v>
      </c>
      <c r="G94" s="585">
        <f>D_AGRVA!G94/D_AGRVO!G93</f>
        <v>3.0146485243388272</v>
      </c>
      <c r="H94" s="585">
        <f>D_AGRVA!H94/D_AGRVO!H93</f>
        <v>3.5291604801618353</v>
      </c>
      <c r="I94" s="591">
        <f>D_AGRVA!I94/D_AGRVO!I93</f>
        <v>18.296296296296298</v>
      </c>
    </row>
    <row r="95" spans="1:9" ht="15" customHeight="1" x14ac:dyDescent="0.2">
      <c r="A95" s="794" t="s">
        <v>278</v>
      </c>
      <c r="B95" s="585">
        <f>D_AGRVA!B95/D_AGRVO!B94</f>
        <v>2.0913311350617372</v>
      </c>
      <c r="C95" s="585">
        <f>D_AGRVA!C95/D_AGRVO!C94</f>
        <v>2.1971032932536949</v>
      </c>
      <c r="D95" s="585">
        <f>D_AGRVA!D95/D_AGRVO!D94</f>
        <v>1.0081387531756889</v>
      </c>
      <c r="E95" s="585">
        <f>D_AGRVA!E95/D_AGRVO!E94</f>
        <v>1.4033801601971656</v>
      </c>
      <c r="F95" s="585">
        <f>D_AGRVA!F95/D_AGRVO!F94</f>
        <v>1.7848807397069086</v>
      </c>
      <c r="G95" s="585">
        <f>D_AGRVA!G95/D_AGRVO!G94</f>
        <v>2.0784519436138416</v>
      </c>
      <c r="H95" s="585">
        <f>D_AGRVA!H95/D_AGRVO!H94</f>
        <v>3.2115792130011278</v>
      </c>
      <c r="I95" s="591">
        <f>D_AGRVA!I95/D_AGRVO!I94</f>
        <v>21.335999999999999</v>
      </c>
    </row>
    <row r="96" spans="1:9" ht="15" customHeight="1" x14ac:dyDescent="0.2">
      <c r="A96" s="794" t="s">
        <v>279</v>
      </c>
      <c r="B96" s="585">
        <f>D_AGRVA!B96/D_AGRVO!B95</f>
        <v>1.9331078867589124</v>
      </c>
      <c r="C96" s="585">
        <f>D_AGRVA!C96/D_AGRVO!C95</f>
        <v>1.7262861595877776</v>
      </c>
      <c r="D96" s="585">
        <f>D_AGRVA!D96/D_AGRVO!D95</f>
        <v>0.77924533333333335</v>
      </c>
      <c r="E96" s="585">
        <f>D_AGRVA!E96/D_AGRVO!E95</f>
        <v>1.6002086730911784</v>
      </c>
      <c r="F96" s="585">
        <f>D_AGRVA!F96/D_AGRVO!F95</f>
        <v>1.9952182876546203</v>
      </c>
      <c r="G96" s="585">
        <f>D_AGRVA!G96/D_AGRVO!G95</f>
        <v>3.9148663934426273</v>
      </c>
      <c r="H96" s="585">
        <f>D_AGRVA!H96/D_AGRVO!H95</f>
        <v>2.8516421482057082</v>
      </c>
      <c r="I96" s="591">
        <f>D_AGRVA!I96/D_AGRVO!I95</f>
        <v>21.534630952380951</v>
      </c>
    </row>
    <row r="97" spans="1:11" ht="15" customHeight="1" x14ac:dyDescent="0.2">
      <c r="A97" s="794" t="s">
        <v>280</v>
      </c>
      <c r="B97" s="585">
        <f>D_AGRVA!B97/D_AGRVO!B96</f>
        <v>1.8275181029050731</v>
      </c>
      <c r="C97" s="585">
        <f>D_AGRVA!C97/D_AGRVO!C96</f>
        <v>1.6687779178587012</v>
      </c>
      <c r="D97" s="585">
        <f>D_AGRVA!D97/D_AGRVO!D96</f>
        <v>1.3574802453987733</v>
      </c>
      <c r="E97" s="585">
        <f>D_AGRVA!E97/D_AGRVO!E96</f>
        <v>1.3960747292418774</v>
      </c>
      <c r="F97" s="585">
        <f>D_AGRVA!F97/D_AGRVO!F96</f>
        <v>1.5697846212884348</v>
      </c>
      <c r="G97" s="585">
        <f>D_AGRVA!G97/D_AGRVO!G96</f>
        <v>3.1003631918980292</v>
      </c>
      <c r="H97" s="585">
        <f>D_AGRVA!H97/D_AGRVO!H96</f>
        <v>2.1981847687961866</v>
      </c>
      <c r="I97" s="591">
        <f>D_AGRVA!I97/D_AGRVO!I96</f>
        <v>31.376457943925235</v>
      </c>
    </row>
    <row r="98" spans="1:11" ht="15" customHeight="1" x14ac:dyDescent="0.2">
      <c r="A98" s="794" t="s">
        <v>281</v>
      </c>
      <c r="B98" s="585">
        <f>D_AGRVA!B98/D_AGRVO!B97</f>
        <v>1.9846487181042072</v>
      </c>
      <c r="C98" s="585">
        <f>D_AGRVA!C98/D_AGRVO!C97</f>
        <v>3.2787225767037746</v>
      </c>
      <c r="D98" s="585">
        <f>D_AGRVA!D98/D_AGRVO!D97</f>
        <v>1.208939558682443</v>
      </c>
      <c r="E98" s="585">
        <f>D_AGRVA!E98/D_AGRVO!E97</f>
        <v>1.1394025460175465</v>
      </c>
      <c r="F98" s="585">
        <f>D_AGRVA!F98/D_AGRVO!F97</f>
        <v>1.2042935678315274</v>
      </c>
      <c r="G98" s="585">
        <f>D_AGRVA!G98/D_AGRVO!G97</f>
        <v>2.9060338541666746</v>
      </c>
      <c r="H98" s="585">
        <f>D_AGRVA!H98/D_AGRVO!H97</f>
        <v>3.4184493844957422</v>
      </c>
      <c r="I98" s="591">
        <f>D_AGRVA!I98/D_AGRVO!I97</f>
        <v>27.422159090909091</v>
      </c>
    </row>
    <row r="99" spans="1:11" s="762" customFormat="1" ht="15" customHeight="1" x14ac:dyDescent="0.2">
      <c r="A99" s="794" t="s">
        <v>207</v>
      </c>
      <c r="B99" s="585">
        <f>D_AGRVA!B99/D_AGRVO!B98</f>
        <v>1.9159929767604431</v>
      </c>
      <c r="C99" s="585">
        <f>D_AGRVA!C99/D_AGRVO!C98</f>
        <v>1.8643436607395587</v>
      </c>
      <c r="D99" s="585">
        <f>D_AGRVA!D99/D_AGRVO!D98</f>
        <v>1.1437579245617142</v>
      </c>
      <c r="E99" s="585">
        <f>D_AGRVA!E99/D_AGRVO!E98</f>
        <v>1.2186234738085859</v>
      </c>
      <c r="F99" s="585">
        <f>D_AGRVA!F99/D_AGRVO!F98</f>
        <v>1.3726213523428381</v>
      </c>
      <c r="G99" s="585">
        <f>D_AGRVA!G99/D_AGRVO!G98</f>
        <v>1.9348913867822308</v>
      </c>
      <c r="H99" s="585">
        <f>D_AGRVA!H99/D_AGRVO!H98</f>
        <v>4.4558578717571198</v>
      </c>
      <c r="I99" s="591">
        <f>D_AGRVA!I99/D_AGRVO!I98</f>
        <v>26.809347826086956</v>
      </c>
      <c r="J99" s="761"/>
    </row>
    <row r="100" spans="1:11" s="762" customFormat="1" ht="15" customHeight="1" x14ac:dyDescent="0.2">
      <c r="A100" s="794" t="s">
        <v>197</v>
      </c>
      <c r="B100" s="585">
        <f>D_AGRVA!B100/D_AGRVO!B99</f>
        <v>1.8929207328521411</v>
      </c>
      <c r="C100" s="585">
        <f>D_AGRVA!C100/D_AGRVO!C99</f>
        <v>1.7518049653118308</v>
      </c>
      <c r="D100" s="585">
        <f>D_AGRVA!D100/D_AGRVO!D99</f>
        <v>1.0101560343613574</v>
      </c>
      <c r="E100" s="585">
        <f>D_AGRVA!E100/D_AGRVO!E99</f>
        <v>1.4507699436670907</v>
      </c>
      <c r="F100" s="585">
        <f>D_AGRVA!F100/D_AGRVO!F99</f>
        <v>1.7981985351355176</v>
      </c>
      <c r="G100" s="585">
        <f>D_AGRVA!G100/D_AGRVO!G99</f>
        <v>2.4902711758584797</v>
      </c>
      <c r="H100" s="585">
        <f>D_AGRVA!H100/D_AGRVO!H99</f>
        <v>2.6429267157508711</v>
      </c>
      <c r="I100" s="591">
        <f>D_AGRVA!I100/D_AGRVO!I99</f>
        <v>15.851923076923077</v>
      </c>
      <c r="J100" s="761"/>
    </row>
    <row r="101" spans="1:11" s="762" customFormat="1" ht="15" customHeight="1" x14ac:dyDescent="0.2">
      <c r="A101" s="794" t="s">
        <v>198</v>
      </c>
      <c r="B101" s="585">
        <f>D_AGRVA!B101/D_AGRVO!B100</f>
        <v>1.8595913064947474</v>
      </c>
      <c r="C101" s="585">
        <f>D_AGRVA!C101/D_AGRVO!C100</f>
        <v>1.9516806125136386</v>
      </c>
      <c r="D101" s="585">
        <f>D_AGRVA!D101/D_AGRVO!D100</f>
        <v>1.1673408467413064</v>
      </c>
      <c r="E101" s="585">
        <f>D_AGRVA!E101/D_AGRVO!E100</f>
        <v>1.5286888955944478</v>
      </c>
      <c r="F101" s="585">
        <f>D_AGRVA!F101/D_AGRVO!F100</f>
        <v>1.6336202222690275</v>
      </c>
      <c r="G101" s="585">
        <f>D_AGRVA!G101/D_AGRVO!G100</f>
        <v>2.3306038281465118</v>
      </c>
      <c r="H101" s="585">
        <f>D_AGRVA!H101/D_AGRVO!H100</f>
        <v>3.4177694668522651</v>
      </c>
      <c r="I101" s="591">
        <f>D_AGRVA!I101/D_AGRVO!I100</f>
        <v>17.897206703910616</v>
      </c>
      <c r="J101" s="761"/>
    </row>
    <row r="102" spans="1:11" s="762" customFormat="1" ht="15" customHeight="1" x14ac:dyDescent="0.2">
      <c r="A102" s="794" t="s">
        <v>208</v>
      </c>
      <c r="B102" s="585">
        <f>D_AGRVA!B102/D_AGRVO!B101</f>
        <v>1.8157405412052678</v>
      </c>
      <c r="C102" s="585">
        <f>D_AGRVA!C102/D_AGRVO!C101</f>
        <v>1.7563321314102565</v>
      </c>
      <c r="D102" s="585">
        <f>D_AGRVA!D102/D_AGRVO!D101</f>
        <v>1.0998816947909023</v>
      </c>
      <c r="E102" s="585">
        <f>D_AGRVA!E102/D_AGRVO!E101</f>
        <v>1.3015763153002418</v>
      </c>
      <c r="F102" s="585">
        <f>D_AGRVA!F102/D_AGRVO!F101</f>
        <v>1.5630118416183543</v>
      </c>
      <c r="G102" s="585">
        <f>D_AGRVA!G102/D_AGRVO!G101</f>
        <v>2.5371223047013083</v>
      </c>
      <c r="H102" s="585">
        <f>D_AGRVA!H102/D_AGRVO!H101</f>
        <v>3.4327322986406976</v>
      </c>
      <c r="I102" s="591">
        <f>D_AGRVA!I102/D_AGRVO!I101</f>
        <v>17.372985714285715</v>
      </c>
      <c r="J102" s="761"/>
    </row>
    <row r="103" spans="1:11" s="762" customFormat="1" ht="15" customHeight="1" x14ac:dyDescent="0.2">
      <c r="A103" s="794" t="s">
        <v>209</v>
      </c>
      <c r="B103" s="585">
        <f>D_AGRVA!B103/D_AGRVO!B102</f>
        <v>2.3600124992551721</v>
      </c>
      <c r="C103" s="585">
        <f>D_AGRVA!C103/D_AGRVO!C102</f>
        <v>2.2472784889445885</v>
      </c>
      <c r="D103" s="585">
        <f>D_AGRVA!D103/D_AGRVO!D102</f>
        <v>1.1520859860958654</v>
      </c>
      <c r="E103" s="585">
        <f>D_AGRVA!E103/D_AGRVO!E102</f>
        <v>2.1042884615384616</v>
      </c>
      <c r="F103" s="585">
        <f>D_AGRVA!F103/D_AGRVO!F102</f>
        <v>1.9271592521381686</v>
      </c>
      <c r="G103" s="585">
        <f>D_AGRVA!G103/D_AGRVO!G102</f>
        <v>6.39327687296419</v>
      </c>
      <c r="H103" s="585">
        <f>D_AGRVA!H103/D_AGRVO!H102</f>
        <v>5.0783606959078664</v>
      </c>
      <c r="I103" s="591">
        <f>D_AGRVA!I103/D_AGRVO!I102</f>
        <v>22.227631578947371</v>
      </c>
      <c r="J103" s="761"/>
    </row>
    <row r="104" spans="1:11" s="762" customFormat="1" ht="15" customHeight="1" x14ac:dyDescent="0.2">
      <c r="A104" s="794" t="s">
        <v>210</v>
      </c>
      <c r="B104" s="585">
        <f>D_AGRVA!B104/D_AGRVO!B103</f>
        <v>2.975345360038911</v>
      </c>
      <c r="C104" s="585">
        <f>D_AGRVA!C104/D_AGRVO!C103</f>
        <v>2.7156373738107344</v>
      </c>
      <c r="D104" s="585">
        <f>D_AGRVA!D104/D_AGRVO!D103</f>
        <v>1.5395278319254926</v>
      </c>
      <c r="E104" s="585">
        <f>D_AGRVA!E104/D_AGRVO!E103</f>
        <v>2.0249906103286381</v>
      </c>
      <c r="F104" s="585">
        <f>D_AGRVA!F104/D_AGRVO!F103</f>
        <v>3.0946152954808808</v>
      </c>
      <c r="G104" s="585">
        <f>D_AGRVA!G104/D_AGRVO!G103</f>
        <v>9.0578911564624445</v>
      </c>
      <c r="H104" s="585">
        <f>D_AGRVA!H104/D_AGRVO!H103</f>
        <v>4.4816330351140294</v>
      </c>
      <c r="I104" s="591">
        <f>D_AGRVA!I104/D_AGRVO!I103</f>
        <v>22.766600000000004</v>
      </c>
      <c r="J104" s="761"/>
    </row>
    <row r="105" spans="1:11" s="762" customFormat="1" ht="15" customHeight="1" x14ac:dyDescent="0.2">
      <c r="A105" s="794" t="s">
        <v>211</v>
      </c>
      <c r="B105" s="585">
        <f>D_AGRVA!B105/D_AGRVO!B104</f>
        <v>2.9032638734328486</v>
      </c>
      <c r="C105" s="585">
        <f>D_AGRVA!C105/D_AGRVO!C104</f>
        <v>3.2197743162298358</v>
      </c>
      <c r="D105" s="585">
        <f>D_AGRVA!D105/D_AGRVO!D104</f>
        <v>1.7912704556589909</v>
      </c>
      <c r="E105" s="585">
        <f>D_AGRVA!E105/D_AGRVO!E104</f>
        <v>2.0285831987075928</v>
      </c>
      <c r="F105" s="585">
        <f>D_AGRVA!F105/D_AGRVO!F104</f>
        <v>2.1440620225628568</v>
      </c>
      <c r="G105" s="585">
        <f>D_AGRVA!G105/D_AGRVO!G104</f>
        <v>4.8182902998462254</v>
      </c>
      <c r="H105" s="585">
        <f>D_AGRVA!H105/D_AGRVO!H104</f>
        <v>4.3793425995810686</v>
      </c>
      <c r="I105" s="591">
        <f>D_AGRVA!I105/D_AGRVO!I104</f>
        <v>25.409208333333336</v>
      </c>
      <c r="J105" s="761"/>
    </row>
    <row r="106" spans="1:11" s="762" customFormat="1" ht="15" customHeight="1" x14ac:dyDescent="0.2">
      <c r="A106" s="794" t="s">
        <v>199</v>
      </c>
      <c r="B106" s="585">
        <f>D_AGRVA!B106/D_AGRVO!B105</f>
        <v>2.6162783003614569</v>
      </c>
      <c r="C106" s="585">
        <f>D_AGRVA!C106/D_AGRVO!C105</f>
        <v>3.1540216908263679</v>
      </c>
      <c r="D106" s="585">
        <f>D_AGRVA!D106/D_AGRVO!D105</f>
        <v>1.7181362672322376</v>
      </c>
      <c r="E106" s="585">
        <f>D_AGRVA!E106/D_AGRVO!E105</f>
        <v>1.6681747864234586</v>
      </c>
      <c r="F106" s="585">
        <f>D_AGRVA!F106/D_AGRVO!F105</f>
        <v>1.457404043482678</v>
      </c>
      <c r="G106" s="585">
        <f>D_AGRVA!G106/D_AGRVO!G105</f>
        <v>3.9963137254901842</v>
      </c>
      <c r="H106" s="585">
        <f>D_AGRVA!H106/D_AGRVO!H105</f>
        <v>4.648655136194944</v>
      </c>
      <c r="I106" s="591">
        <f>D_AGRVA!I106/D_AGRVO!I105</f>
        <v>28.577177215189874</v>
      </c>
      <c r="J106" s="761"/>
    </row>
    <row r="107" spans="1:11" s="762" customFormat="1" ht="15" customHeight="1" x14ac:dyDescent="0.2">
      <c r="A107" s="794" t="s">
        <v>200</v>
      </c>
      <c r="B107" s="585">
        <f>D_AGRVA!B107/D_AGRVO!B106</f>
        <v>2.4827002091405381</v>
      </c>
      <c r="C107" s="585">
        <f>D_AGRVA!C107/D_AGRVO!C106</f>
        <v>3.1335988227183544</v>
      </c>
      <c r="D107" s="585">
        <f>D_AGRVA!D107/D_AGRVO!D106</f>
        <v>1.6031033737024223</v>
      </c>
      <c r="E107" s="585">
        <f>D_AGRVA!E107/D_AGRVO!E106</f>
        <v>1.7732102762625375</v>
      </c>
      <c r="F107" s="585">
        <f>D_AGRVA!F107/D_AGRVO!F106</f>
        <v>1.6180588568752621</v>
      </c>
      <c r="G107" s="585">
        <f>D_AGRVA!G107/D_AGRVO!G106</f>
        <v>3.5819012972363202</v>
      </c>
      <c r="H107" s="585">
        <f>D_AGRVA!H107/D_AGRVO!H106</f>
        <v>4.8649867059614946</v>
      </c>
      <c r="I107" s="591">
        <f>D_AGRVA!I107/D_AGRVO!I106</f>
        <v>27.974802816901413</v>
      </c>
      <c r="J107" s="761"/>
    </row>
    <row r="108" spans="1:11" s="762" customFormat="1" ht="15" customHeight="1" x14ac:dyDescent="0.2">
      <c r="A108" s="794" t="s">
        <v>201</v>
      </c>
      <c r="B108" s="585">
        <f>D_AGRVA!B108/D_AGRVO!B107</f>
        <v>2.8399432737562589</v>
      </c>
      <c r="C108" s="585">
        <f>D_AGRVA!C108/D_AGRVO!C107</f>
        <v>3.0281343137254897</v>
      </c>
      <c r="D108" s="585">
        <f>D_AGRVA!D108/D_AGRVO!D107</f>
        <v>1.2021547481737791</v>
      </c>
      <c r="E108" s="585">
        <f>D_AGRVA!E108/D_AGRVO!E107</f>
        <v>1.8988079061148861</v>
      </c>
      <c r="F108" s="585">
        <f>D_AGRVA!F108/D_AGRVO!F107</f>
        <v>1.8118812471640628</v>
      </c>
      <c r="G108" s="585">
        <f>D_AGRVA!G108/D_AGRVO!G107</f>
        <v>5.3283646888567446</v>
      </c>
      <c r="H108" s="585">
        <f>D_AGRVA!H108/D_AGRVO!H107</f>
        <v>4.8678856542178872</v>
      </c>
      <c r="I108" s="591">
        <f>D_AGRVA!I108/D_AGRVO!I107</f>
        <v>23.798556962025316</v>
      </c>
      <c r="J108" s="761"/>
    </row>
    <row r="109" spans="1:11" s="762" customFormat="1" ht="15" customHeight="1" x14ac:dyDescent="0.2">
      <c r="A109" s="794" t="s">
        <v>202</v>
      </c>
      <c r="B109" s="585">
        <f>D_AGRVA!B109/D_AGRVO!B108</f>
        <v>2.6820583863749672</v>
      </c>
      <c r="C109" s="585">
        <f>D_AGRVA!C109/D_AGRVO!C108</f>
        <v>2.7653376411891069</v>
      </c>
      <c r="D109" s="585">
        <f>D_AGRVA!D109/D_AGRVO!D108</f>
        <v>1.6351126325088337</v>
      </c>
      <c r="E109" s="585">
        <f>D_AGRVA!E109/D_AGRVO!E108</f>
        <v>2.0342761355443408</v>
      </c>
      <c r="F109" s="585">
        <f>D_AGRVA!F109/D_AGRVO!F108</f>
        <v>2.0837541907993775</v>
      </c>
      <c r="G109" s="585">
        <f>D_AGRVA!G109/D_AGRVO!G108</f>
        <v>4.3097148994336987</v>
      </c>
      <c r="H109" s="585">
        <f>D_AGRVA!H109/D_AGRVO!H108</f>
        <v>4.5631210451723661</v>
      </c>
      <c r="I109" s="591">
        <f>D_AGRVA!I109/D_AGRVO!I108</f>
        <v>22.751279411764703</v>
      </c>
      <c r="J109" s="761"/>
    </row>
    <row r="110" spans="1:11" s="762" customFormat="1" ht="15" customHeight="1" x14ac:dyDescent="0.2">
      <c r="A110" s="794" t="s">
        <v>203</v>
      </c>
      <c r="B110" s="585">
        <f>D_AGRVA!B110/D_AGRVO!B109</f>
        <v>3.6290763786444082</v>
      </c>
      <c r="C110" s="585">
        <f>D_AGRVA!C110/D_AGRVO!C109</f>
        <v>36.164833752515094</v>
      </c>
      <c r="D110" s="585">
        <f>D_AGRVA!D110/D_AGRVO!D109</f>
        <v>1.3354793122399311E-2</v>
      </c>
      <c r="E110" s="585">
        <f>D_AGRVA!E110/D_AGRVO!E109</f>
        <v>1.1603939309576838</v>
      </c>
      <c r="F110" s="585">
        <f>D_AGRVA!F110/D_AGRVO!F109</f>
        <v>0</v>
      </c>
      <c r="G110" s="585">
        <f>D_AGRVA!G110/D_AGRVO!G109</f>
        <v>1.1570241387391651</v>
      </c>
      <c r="H110" s="585">
        <f>D_AGRVA!H110/D_AGRVO!H109</f>
        <v>3.5877485030906535</v>
      </c>
      <c r="I110" s="591">
        <f>D_AGRVA!I110/D_AGRVO!I109</f>
        <v>44.754945054945047</v>
      </c>
      <c r="J110" s="761"/>
      <c r="K110" s="761"/>
    </row>
    <row r="111" spans="1:11" s="762" customFormat="1" ht="15" customHeight="1" x14ac:dyDescent="0.2">
      <c r="A111" s="794" t="s">
        <v>204</v>
      </c>
      <c r="B111" s="585">
        <f>D_AGRVA!B111/D_AGRVO!B110</f>
        <v>2.7916754616662764</v>
      </c>
      <c r="C111" s="585">
        <f>D_AGRVA!C111/D_AGRVO!C110</f>
        <v>3.2735097319845465</v>
      </c>
      <c r="D111" s="585">
        <f>D_AGRVA!D111/D_AGRVO!D110</f>
        <v>0.9314244500939538</v>
      </c>
      <c r="E111" s="585">
        <f>D_AGRVA!E111/D_AGRVO!E110</f>
        <v>3.3090413943355119</v>
      </c>
      <c r="F111" s="585">
        <f>D_AGRVA!F111/D_AGRVO!F110</f>
        <v>1.5622633531562005</v>
      </c>
      <c r="G111" s="585">
        <f>D_AGRVA!G111/D_AGRVO!G110</f>
        <v>3.1015743589743554</v>
      </c>
      <c r="H111" s="585">
        <f>D_AGRVA!H111/D_AGRVO!H110</f>
        <v>4.4270526973547186</v>
      </c>
      <c r="I111" s="591">
        <f>D_AGRVA!I111/D_AGRVO!I110</f>
        <v>22.215318181818184</v>
      </c>
      <c r="J111" s="761"/>
    </row>
    <row r="112" spans="1:11" s="762" customFormat="1" ht="15" customHeight="1" x14ac:dyDescent="0.2">
      <c r="A112" s="794" t="s">
        <v>205</v>
      </c>
      <c r="B112" s="585">
        <f>D_AGRVA!B112/D_AGRVO!B111</f>
        <v>1.101963095000605</v>
      </c>
      <c r="C112" s="585">
        <f>D_AGRVA!C112/D_AGRVO!C111</f>
        <v>2.0532076833439841</v>
      </c>
      <c r="D112" s="585">
        <f>D_AGRVA!D112/D_AGRVO!D111</f>
        <v>1.2604840466926071</v>
      </c>
      <c r="E112" s="585">
        <f>D_AGRVA!E112/D_AGRVO!E111</f>
        <v>1.8972568421052636</v>
      </c>
      <c r="F112" s="585">
        <f>D_AGRVA!F112/D_AGRVO!F111</f>
        <v>0.99221537092800449</v>
      </c>
      <c r="G112" s="585">
        <f>D_AGRVA!G112/D_AGRVO!G111</f>
        <v>2.005291095890414</v>
      </c>
      <c r="H112" s="585">
        <f>D_AGRVA!H112/D_AGRVO!H111</f>
        <v>0.60672114920156006</v>
      </c>
      <c r="I112" s="591">
        <f>D_AGRVA!I112/D_AGRVO!I111</f>
        <v>0.22450542358918027</v>
      </c>
      <c r="J112" s="761"/>
    </row>
    <row r="113" spans="1:14" s="762" customFormat="1" ht="15" customHeight="1" x14ac:dyDescent="0.2">
      <c r="A113" s="794" t="s">
        <v>206</v>
      </c>
      <c r="B113" s="585">
        <f>D_AGRVA!B113/D_AGRVO!B112</f>
        <v>1.4337482486701687</v>
      </c>
      <c r="C113" s="585">
        <f>D_AGRVA!C113/D_AGRVO!C112</f>
        <v>2.338645281018028</v>
      </c>
      <c r="D113" s="585">
        <f>D_AGRVA!D113/D_AGRVO!D112</f>
        <v>1.4764595879556257</v>
      </c>
      <c r="E113" s="585">
        <f>D_AGRVA!E113/D_AGRVO!E112</f>
        <v>1.6896826923076924</v>
      </c>
      <c r="F113" s="585">
        <f>D_AGRVA!F113/D_AGRVO!F112</f>
        <v>0.90270490230286105</v>
      </c>
      <c r="G113" s="585">
        <f>D_AGRVA!G113/D_AGRVO!G112</f>
        <v>1.5905459113750569</v>
      </c>
      <c r="H113" s="585">
        <f>D_AGRVA!H113/D_AGRVO!H112</f>
        <v>1.1377197256072549</v>
      </c>
      <c r="I113" s="591">
        <f>D_AGRVA!I113/D_AGRVO!I112</f>
        <v>0.41725188284518827</v>
      </c>
      <c r="J113" s="761"/>
    </row>
    <row r="114" spans="1:14" s="762" customFormat="1" ht="15" customHeight="1" x14ac:dyDescent="0.2">
      <c r="A114" s="794" t="s">
        <v>212</v>
      </c>
      <c r="B114" s="585">
        <f>D_AGRVA!B114/D_AGRVO!B113</f>
        <v>2.0475881321863123</v>
      </c>
      <c r="C114" s="585">
        <f>D_AGRVA!C114/D_AGRVO!C113</f>
        <v>2.238684395558495</v>
      </c>
      <c r="D114" s="585">
        <f>D_AGRVA!D114/D_AGRVO!D113</f>
        <v>1.6541677074041037</v>
      </c>
      <c r="E114" s="585">
        <f>D_AGRVA!E114/D_AGRVO!E113</f>
        <v>1.4641061452513966</v>
      </c>
      <c r="F114" s="585">
        <f>D_AGRVA!F114/D_AGRVO!F113</f>
        <v>2.8444064354665706</v>
      </c>
      <c r="G114" s="585">
        <f>D_AGRVA!G114/D_AGRVO!G113</f>
        <v>2.1069620471535395</v>
      </c>
      <c r="H114" s="585">
        <f>D_AGRVA!H114/D_AGRVO!H113</f>
        <v>1.6424773027871042</v>
      </c>
      <c r="I114" s="591">
        <f>D_AGRVA!I114/D_AGRVO!I113</f>
        <v>0.63812165743194416</v>
      </c>
      <c r="J114" s="763"/>
    </row>
    <row r="115" spans="1:14" s="762" customFormat="1" ht="15" customHeight="1" x14ac:dyDescent="0.2">
      <c r="A115" s="794" t="s">
        <v>213</v>
      </c>
      <c r="B115" s="585">
        <f>D_AGRVA!B115/D_AGRVO!B114</f>
        <v>1.45001123048984</v>
      </c>
      <c r="C115" s="585">
        <f>D_AGRVA!C115/D_AGRVO!C114</f>
        <v>1.8564094276273717</v>
      </c>
      <c r="D115" s="585">
        <f>D_AGRVA!D115/D_AGRVO!D114</f>
        <v>1.2702125219923557</v>
      </c>
      <c r="E115" s="585">
        <f>D_AGRVA!E115/D_AGRVO!E114</f>
        <v>1.4463455982556555</v>
      </c>
      <c r="F115" s="585">
        <f>D_AGRVA!F115/D_AGRVO!F114</f>
        <v>0.92498751735843221</v>
      </c>
      <c r="G115" s="585">
        <f>D_AGRVA!G115/D_AGRVO!G114</f>
        <v>2.7065116654340096</v>
      </c>
      <c r="H115" s="585">
        <f>D_AGRVA!H115/D_AGRVO!H114</f>
        <v>1.1811616345281046</v>
      </c>
      <c r="I115" s="591">
        <f>D_AGRVA!I115/D_AGRVO!I114</f>
        <v>0.75936211487257521</v>
      </c>
      <c r="J115" s="761"/>
    </row>
    <row r="116" spans="1:14" s="762" customFormat="1" ht="15" customHeight="1" x14ac:dyDescent="0.2">
      <c r="A116" s="794" t="s">
        <v>214</v>
      </c>
      <c r="B116" s="585">
        <f>D_AGRVA!B116/D_AGRVO!B115</f>
        <v>1.9025591693120441</v>
      </c>
      <c r="C116" s="585">
        <f>D_AGRVA!C116/D_AGRVO!C115</f>
        <v>2.1568187743874181</v>
      </c>
      <c r="D116" s="585">
        <f>D_AGRVA!D116/D_AGRVO!D115</f>
        <v>1.5239799094510473</v>
      </c>
      <c r="E116" s="585">
        <f>D_AGRVA!E116/D_AGRVO!E115</f>
        <v>1.8828132129277568</v>
      </c>
      <c r="F116" s="585">
        <f>D_AGRVA!F116/D_AGRVO!F115</f>
        <v>1.8259091681978992</v>
      </c>
      <c r="G116" s="585">
        <f>D_AGRVA!G116/D_AGRVO!G115</f>
        <v>2.6063288958496518</v>
      </c>
      <c r="H116" s="585">
        <f>D_AGRVA!H116/D_AGRVO!H115</f>
        <v>1.4959393683618203</v>
      </c>
      <c r="I116" s="591">
        <f>D_AGRVA!I116/D_AGRVO!I115</f>
        <v>1.7447748226950355</v>
      </c>
      <c r="J116" s="761"/>
    </row>
    <row r="117" spans="1:14" s="762" customFormat="1" ht="15" customHeight="1" x14ac:dyDescent="0.2">
      <c r="A117" s="794" t="s">
        <v>215</v>
      </c>
      <c r="B117" s="585">
        <f>D_AGRVA!B117/D_AGRVO!B116</f>
        <v>1.6834784231259023</v>
      </c>
      <c r="C117" s="585">
        <f>D_AGRVA!C117/D_AGRVO!C116</f>
        <v>2.194288882950294</v>
      </c>
      <c r="D117" s="585">
        <f>D_AGRVA!D117/D_AGRVO!D116</f>
        <v>1.4924701681640178</v>
      </c>
      <c r="E117" s="585">
        <f>D_AGRVA!E117/D_AGRVO!E116</f>
        <v>2.5017133035407357</v>
      </c>
      <c r="F117" s="585">
        <f>D_AGRVA!F117/D_AGRVO!F116</f>
        <v>1.0880387312590682</v>
      </c>
      <c r="G117" s="585">
        <f>D_AGRVA!G117/D_AGRVO!G116</f>
        <v>2.1925064209938561</v>
      </c>
      <c r="H117" s="585">
        <f>D_AGRVA!H117/D_AGRVO!H116</f>
        <v>2.3739178262599849</v>
      </c>
      <c r="I117" s="591">
        <f>D_AGRVA!I117/D_AGRVO!I116</f>
        <v>0.72978559888704397</v>
      </c>
      <c r="J117" s="761"/>
    </row>
    <row r="118" spans="1:14" s="762" customFormat="1" ht="15" customHeight="1" x14ac:dyDescent="0.2">
      <c r="A118" s="794" t="s">
        <v>216</v>
      </c>
      <c r="B118" s="585">
        <f>D_AGRVA!B118/D_AGRVO!B117</f>
        <v>2.4550400151016945</v>
      </c>
      <c r="C118" s="585">
        <f>D_AGRVA!C118/D_AGRVO!C117</f>
        <v>2.4995455873758035</v>
      </c>
      <c r="D118" s="585">
        <f>D_AGRVA!D118/D_AGRVO!D117</f>
        <v>1.1642895996518714</v>
      </c>
      <c r="E118" s="585">
        <f>D_AGRVA!E118/D_AGRVO!E117</f>
        <v>1.3961749326145552</v>
      </c>
      <c r="F118" s="585">
        <f>D_AGRVA!F118/D_AGRVO!F117</f>
        <v>1.5358806326469712</v>
      </c>
      <c r="G118" s="585">
        <f>D_AGRVA!G118/D_AGRVO!G117</f>
        <v>3.344846347607048</v>
      </c>
      <c r="H118" s="585">
        <f>D_AGRVA!H118/D_AGRVO!H117</f>
        <v>3.8804056902002091</v>
      </c>
      <c r="I118" s="591">
        <f>D_AGRVA!I118/D_AGRVO!I117</f>
        <v>19.150395833333334</v>
      </c>
      <c r="J118" s="761"/>
    </row>
    <row r="119" spans="1:14" s="762" customFormat="1" ht="15" customHeight="1" x14ac:dyDescent="0.2">
      <c r="A119" s="794" t="s">
        <v>217</v>
      </c>
      <c r="B119" s="585">
        <f>D_AGRVA!B119/D_AGRVO!B118</f>
        <v>1.6907815667522605</v>
      </c>
      <c r="C119" s="585">
        <f>D_AGRVA!C119/D_AGRVO!C118</f>
        <v>2.2447710403310257</v>
      </c>
      <c r="D119" s="585">
        <f>D_AGRVA!D119/D_AGRVO!D118</f>
        <v>1.4439484536082476</v>
      </c>
      <c r="E119" s="585">
        <f>D_AGRVA!E119/D_AGRVO!E118</f>
        <v>1.6129640686922058</v>
      </c>
      <c r="F119" s="585">
        <f>D_AGRVA!F119/D_AGRVO!F118</f>
        <v>1.6057800240673883</v>
      </c>
      <c r="G119" s="585">
        <f>D_AGRVA!G119/D_AGRVO!G118</f>
        <v>2.5172863143157258</v>
      </c>
      <c r="H119" s="585">
        <f>D_AGRVA!H119/D_AGRVO!H118</f>
        <v>1.3426408903500078</v>
      </c>
      <c r="I119" s="591">
        <f>D_AGRVA!I119/D_AGRVO!I118</f>
        <v>0.54160784716516031</v>
      </c>
      <c r="J119" s="761"/>
    </row>
    <row r="120" spans="1:14" s="762" customFormat="1" ht="15" customHeight="1" x14ac:dyDescent="0.2">
      <c r="A120" s="794" t="s">
        <v>218</v>
      </c>
      <c r="B120" s="585">
        <f>D_AGRVA!B120/D_AGRVO!B119</f>
        <v>1.5674352030873968</v>
      </c>
      <c r="C120" s="585">
        <f>D_AGRVA!C120/D_AGRVO!C119</f>
        <v>1.5366099695773316</v>
      </c>
      <c r="D120" s="585">
        <f>D_AGRVA!D120/D_AGRVO!D119</f>
        <v>1.030996856302606</v>
      </c>
      <c r="E120" s="585">
        <f>D_AGRVA!E120/D_AGRVO!E119</f>
        <v>1.1683312283967029</v>
      </c>
      <c r="F120" s="585">
        <f>D_AGRVA!F120/D_AGRVO!F119</f>
        <v>1.2500970681893051</v>
      </c>
      <c r="G120" s="585">
        <f>D_AGRVA!G120/D_AGRVO!G119</f>
        <v>1.9867726840022026</v>
      </c>
      <c r="H120" s="585">
        <f>D_AGRVA!H120/D_AGRVO!H119</f>
        <v>2.2041031544924095</v>
      </c>
      <c r="I120" s="591">
        <f>D_AGRVA!I120/D_AGRVO!I119</f>
        <v>4.6288467153284669</v>
      </c>
      <c r="J120" s="761"/>
    </row>
    <row r="121" spans="1:14" s="762" customFormat="1" ht="15" customHeight="1" x14ac:dyDescent="0.2">
      <c r="A121" s="794" t="s">
        <v>219</v>
      </c>
      <c r="B121" s="585">
        <f>D_AGRVA!B121/D_AGRVO!B120</f>
        <v>1.9072086217916435</v>
      </c>
      <c r="C121" s="585">
        <f>D_AGRVA!C121/D_AGRVO!C120</f>
        <v>1.4532209348650191</v>
      </c>
      <c r="D121" s="585">
        <f>D_AGRVA!D121/D_AGRVO!D120</f>
        <v>1.3560325384997516</v>
      </c>
      <c r="E121" s="585">
        <f>D_AGRVA!E121/D_AGRVO!E120</f>
        <v>1.7782792003593888</v>
      </c>
      <c r="F121" s="585">
        <f>D_AGRVA!F121/D_AGRVO!F120</f>
        <v>1.7138562289838433</v>
      </c>
      <c r="G121" s="585">
        <f>D_AGRVA!G121/D_AGRVO!G120</f>
        <v>2.2033568202348692</v>
      </c>
      <c r="H121" s="585">
        <f>D_AGRVA!H121/D_AGRVO!H120</f>
        <v>2.4144262598905608</v>
      </c>
      <c r="I121" s="591">
        <f>D_AGRVA!I121/D_AGRVO!I120</f>
        <v>3.5370521945432976</v>
      </c>
      <c r="J121" s="761"/>
    </row>
    <row r="122" spans="1:14" s="762" customFormat="1" ht="15" customHeight="1" x14ac:dyDescent="0.2">
      <c r="A122" s="794" t="s">
        <v>283</v>
      </c>
      <c r="B122" s="585">
        <f>D_AGRVA!B122/D_AGRVO!B121</f>
        <v>2.157303765141553</v>
      </c>
      <c r="C122" s="585">
        <f>D_AGRVA!C122/D_AGRVO!C121</f>
        <v>1.9449676710233923</v>
      </c>
      <c r="D122" s="585">
        <f>D_AGRVA!D122/D_AGRVO!D121</f>
        <v>0.82402900149736003</v>
      </c>
      <c r="E122" s="585">
        <f>D_AGRVA!E122/D_AGRVO!E121</f>
        <v>1.3253748265859504</v>
      </c>
      <c r="F122" s="585">
        <f>D_AGRVA!F122/D_AGRVO!F121</f>
        <v>3.2146008941877797</v>
      </c>
      <c r="G122" s="585">
        <f>D_AGRVA!G122/D_AGRVO!G121</f>
        <v>3.8898788709861707</v>
      </c>
      <c r="H122" s="585">
        <f>D_AGRVA!H122/D_AGRVO!H121</f>
        <v>5.7407775561804799</v>
      </c>
      <c r="I122" s="591">
        <f>D_AGRVA!I122/D_AGRVO!I121</f>
        <v>10.441522012578616</v>
      </c>
      <c r="J122" s="763"/>
    </row>
    <row r="123" spans="1:14" s="762" customFormat="1" ht="15" customHeight="1" x14ac:dyDescent="0.2">
      <c r="A123" s="794" t="s">
        <v>284</v>
      </c>
      <c r="B123" s="585">
        <f>D_AGRVA!B123/D_AGRVO!B122</f>
        <v>1.4495759007717124</v>
      </c>
      <c r="C123" s="585">
        <f>D_AGRVA!C123/D_AGRVO!C122</f>
        <v>1.0283458832632364</v>
      </c>
      <c r="D123" s="585">
        <f>D_AGRVA!D123/D_AGRVO!D122</f>
        <v>0.704051706542692</v>
      </c>
      <c r="E123" s="585">
        <f>D_AGRVA!E123/D_AGRVO!E122</f>
        <v>0.97973893456470307</v>
      </c>
      <c r="F123" s="585">
        <f>D_AGRVA!F123/D_AGRVO!F122</f>
        <v>1.4228778348956759</v>
      </c>
      <c r="G123" s="585">
        <f>D_AGRVA!G123/D_AGRVO!G122</f>
        <v>3.3127277417779943</v>
      </c>
      <c r="H123" s="585">
        <f>D_AGRVA!H123/D_AGRVO!H122</f>
        <v>4.5488520351982533</v>
      </c>
      <c r="I123" s="591">
        <f>D_AGRVA!I123/D_AGRVO!I122</f>
        <v>5.6822852459016397</v>
      </c>
      <c r="J123" s="761"/>
    </row>
    <row r="124" spans="1:14" s="762" customFormat="1" ht="15" customHeight="1" x14ac:dyDescent="0.2">
      <c r="A124" s="794" t="s">
        <v>287</v>
      </c>
      <c r="B124" s="585">
        <f>D_AGRVA!B124/D_AGRVO!B123</f>
        <v>1.616182859648412</v>
      </c>
      <c r="C124" s="585">
        <f>D_AGRVA!C124/D_AGRVO!C123</f>
        <v>1.3452516607558755</v>
      </c>
      <c r="D124" s="585">
        <f>D_AGRVA!D124/D_AGRVO!D123</f>
        <v>0.94119014846131144</v>
      </c>
      <c r="E124" s="585">
        <f>D_AGRVA!E124/D_AGRVO!E123</f>
        <v>0.94007963812436302</v>
      </c>
      <c r="F124" s="585">
        <f>D_AGRVA!F124/D_AGRVO!F123</f>
        <v>1.8369527050017009</v>
      </c>
      <c r="G124" s="585">
        <f>D_AGRVA!G124/D_AGRVO!G123</f>
        <v>3.3946667390919041</v>
      </c>
      <c r="H124" s="585">
        <f>D_AGRVA!H124/D_AGRVO!H123</f>
        <v>3.1622290348268569</v>
      </c>
      <c r="I124" s="591">
        <f>D_AGRVA!I124/D_AGRVO!I123</f>
        <v>7.142185770750987</v>
      </c>
      <c r="J124" s="761"/>
      <c r="K124" s="761"/>
      <c r="N124" s="761"/>
    </row>
    <row r="125" spans="1:14" s="762" customFormat="1" ht="15" customHeight="1" x14ac:dyDescent="0.2">
      <c r="A125" s="794" t="s">
        <v>301</v>
      </c>
      <c r="B125" s="585">
        <f>D_AGRVA!B125/D_AGRVO!B124</f>
        <v>2.7710412504215989</v>
      </c>
      <c r="C125" s="585">
        <f>D_AGRVA!C125/D_AGRVO!C124</f>
        <v>2.492701841041761</v>
      </c>
      <c r="D125" s="585">
        <f>D_AGRVA!D125/D_AGRVO!D124</f>
        <v>1.2074612850082371</v>
      </c>
      <c r="E125" s="585">
        <f>D_AGRVA!E125/D_AGRVO!E124</f>
        <v>3.9697821629933379</v>
      </c>
      <c r="F125" s="585">
        <f>D_AGRVA!F125/D_AGRVO!F124</f>
        <v>1.9419132964794881</v>
      </c>
      <c r="G125" s="585">
        <f>D_AGRVA!G125/D_AGRVO!G124</f>
        <v>1.8537871674491395</v>
      </c>
      <c r="H125" s="585">
        <f>D_AGRVA!H125/D_AGRVO!H124</f>
        <v>5.2203825853226773</v>
      </c>
      <c r="I125" s="591">
        <f>D_AGRVA!I125/D_AGRVO!I124</f>
        <v>8.0993918918918926</v>
      </c>
      <c r="J125" s="761"/>
      <c r="N125" s="761"/>
    </row>
    <row r="126" spans="1:14" s="762" customFormat="1" ht="15" customHeight="1" x14ac:dyDescent="0.2">
      <c r="A126" s="808" t="s">
        <v>303</v>
      </c>
      <c r="B126" s="585">
        <f>D_AGRVA!B126/D_AGRVO!B125</f>
        <v>3.6013019502201504</v>
      </c>
      <c r="C126" s="585">
        <f>D_AGRVA!C126/D_AGRVO!C125</f>
        <v>2.794899239338116</v>
      </c>
      <c r="D126" s="585">
        <f>D_AGRVA!D126/D_AGRVO!D125</f>
        <v>1.4807432788613601</v>
      </c>
      <c r="E126" s="585">
        <f>D_AGRVA!E126/D_AGRVO!E125</f>
        <v>4.7048925389755007</v>
      </c>
      <c r="F126" s="585">
        <f>D_AGRVA!F126/D_AGRVO!F125</f>
        <v>1.7794033145172963</v>
      </c>
      <c r="G126" s="585">
        <f>D_AGRVA!G126/D_AGRVO!G125</f>
        <v>5.9573456430876739</v>
      </c>
      <c r="H126" s="585">
        <f>D_AGRVA!H126/D_AGRVO!H125</f>
        <v>7.7802149535857392</v>
      </c>
      <c r="I126" s="591">
        <f>D_AGRVA!I126/D_AGRVO!I125</f>
        <v>11.153061224489797</v>
      </c>
      <c r="J126" s="763"/>
    </row>
    <row r="127" spans="1:14" s="762" customFormat="1" ht="15" customHeight="1" x14ac:dyDescent="0.2">
      <c r="A127" s="808" t="s">
        <v>304</v>
      </c>
      <c r="B127" s="585">
        <f>D_AGRVA!B127/D_AGRVO!B126</f>
        <v>4.7308717707008725</v>
      </c>
      <c r="C127" s="585">
        <f>D_AGRVA!C127/D_AGRVO!C126</f>
        <v>6.6747268032096461</v>
      </c>
      <c r="D127" s="585">
        <f>D_AGRVA!D127/D_AGRVO!D126</f>
        <v>0.66786151257176785</v>
      </c>
      <c r="E127" s="585">
        <f>D_AGRVA!E127/D_AGRVO!E126</f>
        <v>4.4230105633802816</v>
      </c>
      <c r="F127" s="585">
        <f>D_AGRVA!F127/D_AGRVO!F126</f>
        <v>2.7458650013287267</v>
      </c>
      <c r="G127" s="585">
        <f>D_AGRVA!G127/D_AGRVO!G126</f>
        <v>6.0126150288745919</v>
      </c>
      <c r="H127" s="585">
        <f>D_AGRVA!H127/D_AGRVO!H126</f>
        <v>8.6770687055066418</v>
      </c>
      <c r="I127" s="591">
        <f>D_AGRVA!I127/D_AGRVO!I126</f>
        <v>14.139830508474573</v>
      </c>
      <c r="J127" s="763"/>
      <c r="K127" s="761"/>
      <c r="N127" s="761"/>
    </row>
    <row r="128" spans="1:14" s="762" customFormat="1" ht="15" customHeight="1" x14ac:dyDescent="0.2">
      <c r="A128" s="808" t="s">
        <v>306</v>
      </c>
      <c r="B128" s="585">
        <f>D_AGRVA!B128/D_AGRVO!B127</f>
        <v>3.4290455428743916</v>
      </c>
      <c r="C128" s="585">
        <f>D_AGRVA!C128/D_AGRVO!C127</f>
        <v>2.491555075274229</v>
      </c>
      <c r="D128" s="585">
        <f>D_AGRVA!D128/D_AGRVO!D127</f>
        <v>1.8363318271985893</v>
      </c>
      <c r="E128" s="585">
        <f>D_AGRVA!E128/D_AGRVO!E127</f>
        <v>4.7761117203564085</v>
      </c>
      <c r="F128" s="585">
        <f>D_AGRVA!F128/D_AGRVO!F127</f>
        <v>2.4616093627505884</v>
      </c>
      <c r="G128" s="585">
        <f>D_AGRVA!G128/D_AGRVO!G127</f>
        <v>4.591001036269426</v>
      </c>
      <c r="H128" s="585">
        <f>D_AGRVA!H128/D_AGRVO!H127</f>
        <v>5.9120358750359028</v>
      </c>
      <c r="I128" s="591">
        <f>D_AGRVA!I128/D_AGRVO!I127</f>
        <v>12.384158415841583</v>
      </c>
      <c r="J128" s="761"/>
      <c r="N128" s="761"/>
    </row>
    <row r="129" spans="1:23" s="762" customFormat="1" ht="15" customHeight="1" x14ac:dyDescent="0.2">
      <c r="A129" s="808" t="s">
        <v>313</v>
      </c>
      <c r="B129" s="585">
        <f>D_AGRVA!B129/D_AGRVO!B128</f>
        <v>3.1472735820479487</v>
      </c>
      <c r="C129" s="585">
        <f>D_AGRVA!C129/D_AGRVO!C128</f>
        <v>2.9037584710662308</v>
      </c>
      <c r="D129" s="585">
        <f>D_AGRVA!D129/D_AGRVO!D128</f>
        <v>1.9849289099526066</v>
      </c>
      <c r="E129" s="585">
        <f>D_AGRVA!E129/D_AGRVO!E128</f>
        <v>4.0652261603375521</v>
      </c>
      <c r="F129" s="585">
        <f>D_AGRVA!F129/D_AGRVO!F128</f>
        <v>2.0902050145070343</v>
      </c>
      <c r="G129" s="585">
        <f>D_AGRVA!G129/D_AGRVO!G128</f>
        <v>5.9717633210012995</v>
      </c>
      <c r="H129" s="585">
        <f>D_AGRVA!H129/D_AGRVO!H128</f>
        <v>5.6912988805126883</v>
      </c>
      <c r="I129" s="591">
        <f>D_AGRVA!I129/D_AGRVO!I128</f>
        <v>10.67127299703264</v>
      </c>
      <c r="J129" s="761"/>
      <c r="K129" s="761"/>
      <c r="N129" s="761"/>
    </row>
    <row r="130" spans="1:23" s="762" customFormat="1" ht="15" customHeight="1" x14ac:dyDescent="0.2">
      <c r="A130" s="798" t="s">
        <v>315</v>
      </c>
      <c r="B130" s="596">
        <f>D_AGRVA!B130/D_AGRVO!B129</f>
        <v>2.9177843012645228</v>
      </c>
      <c r="C130" s="596">
        <f>D_AGRVA!C130/D_AGRVO!C129</f>
        <v>2.2863625359765445</v>
      </c>
      <c r="D130" s="596">
        <f>D_AGRVA!D130/D_AGRVO!D129</f>
        <v>1.6365003158559697</v>
      </c>
      <c r="E130" s="596">
        <f>D_AGRVA!E130/D_AGRVO!E129</f>
        <v>4.1507015209125475</v>
      </c>
      <c r="F130" s="596">
        <f>D_AGRVA!F130/D_AGRVO!F129</f>
        <v>1.5648430777716491</v>
      </c>
      <c r="G130" s="596">
        <f>D_AGRVA!G130/D_AGRVO!G129</f>
        <v>6.3421837996832391</v>
      </c>
      <c r="H130" s="596">
        <f>D_AGRVA!H130/D_AGRVO!H129</f>
        <v>5.9279289100629269</v>
      </c>
      <c r="I130" s="797">
        <f>D_AGRVA!I130/D_AGRVO!I129</f>
        <v>13.020408163265305</v>
      </c>
      <c r="J130" s="761"/>
      <c r="K130" s="761" t="s">
        <v>320</v>
      </c>
      <c r="L130" s="761"/>
      <c r="N130" s="761"/>
    </row>
    <row r="131" spans="1:23" s="765" customFormat="1" ht="15" customHeight="1" x14ac:dyDescent="0.3">
      <c r="A131" s="657" t="s">
        <v>172</v>
      </c>
      <c r="B131" s="764"/>
      <c r="C131" s="503"/>
      <c r="D131" s="764"/>
      <c r="E131" s="602"/>
      <c r="F131" s="503"/>
      <c r="G131" s="503"/>
      <c r="H131" s="602"/>
      <c r="I131" s="503"/>
      <c r="J131" s="503"/>
    </row>
    <row r="132" spans="1:23" ht="12.75" customHeight="1" x14ac:dyDescent="0.2">
      <c r="A132" s="789" t="s">
        <v>286</v>
      </c>
      <c r="B132" s="233"/>
      <c r="F132" s="751"/>
    </row>
    <row r="133" spans="1:23" ht="15" customHeight="1" x14ac:dyDescent="0.2">
      <c r="B133" s="233"/>
    </row>
    <row r="135" spans="1:23" x14ac:dyDescent="0.2">
      <c r="C135" s="766"/>
      <c r="H135" s="751"/>
      <c r="M135" s="766"/>
      <c r="W135" s="766"/>
    </row>
  </sheetData>
  <mergeCells count="2">
    <mergeCell ref="B3:I3"/>
    <mergeCell ref="B2:I2"/>
  </mergeCells>
  <phoneticPr fontId="2" type="noConversion"/>
  <printOptions gridLinesSet="0"/>
  <pageMargins left="0.7" right="0.7" top="0.75" bottom="0.75" header="0.3" footer="0.3"/>
  <pageSetup paperSize="9" scale="2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M5" transitionEvaluation="1" codeName="Sheet12"/>
  <dimension ref="A1:DI49"/>
  <sheetViews>
    <sheetView showGridLines="0" showOutlineSymbols="0" zoomScaleNormal="100" workbookViewId="0">
      <pane xSplit="1" ySplit="4" topLeftCell="M5" activePane="bottomRight" state="frozen"/>
      <selection activeCell="F113" sqref="F113"/>
      <selection pane="topRight" activeCell="F113" sqref="F113"/>
      <selection pane="bottomLeft" activeCell="F113" sqref="F113"/>
      <selection pane="bottomRight" activeCell="BP35" sqref="BP35"/>
    </sheetView>
  </sheetViews>
  <sheetFormatPr defaultColWidth="9" defaultRowHeight="10.199999999999999" outlineLevelCol="1" x14ac:dyDescent="0.2"/>
  <cols>
    <col min="1" max="1" width="22.83203125" style="156" customWidth="1"/>
    <col min="2" max="3" width="8" style="156" hidden="1" customWidth="1" outlineLevel="1"/>
    <col min="4" max="4" width="7.6640625" style="156" hidden="1" customWidth="1" outlineLevel="1" collapsed="1"/>
    <col min="5" max="7" width="8" style="156" hidden="1" customWidth="1" outlineLevel="1" collapsed="1"/>
    <col min="8" max="8" width="7.1640625" style="156" hidden="1" customWidth="1" collapsed="1"/>
    <col min="9" max="9" width="7.1640625" style="156" hidden="1" customWidth="1"/>
    <col min="10" max="11" width="7.1640625" style="156" customWidth="1"/>
    <col min="12" max="12" width="7.6640625" style="156" bestFit="1" customWidth="1"/>
    <col min="13" max="14" width="7.6640625" style="156" customWidth="1"/>
    <col min="15" max="17" width="7.6640625" style="156" hidden="1" customWidth="1" outlineLevel="1"/>
    <col min="18" max="18" width="1.83203125" style="156" hidden="1" customWidth="1" outlineLevel="1"/>
    <col min="19" max="19" width="7.6640625" style="156" hidden="1" customWidth="1" outlineLevel="1" collapsed="1"/>
    <col min="20" max="22" width="7.6640625" style="156" hidden="1" customWidth="1" outlineLevel="1"/>
    <col min="23" max="23" width="2" style="156" hidden="1" customWidth="1" outlineLevel="1"/>
    <col min="24" max="25" width="7.83203125" style="156" hidden="1" customWidth="1" outlineLevel="1"/>
    <col min="26" max="26" width="7.83203125" style="157" hidden="1" customWidth="1" outlineLevel="1"/>
    <col min="27" max="27" width="7.83203125" style="156" hidden="1" customWidth="1" outlineLevel="1"/>
    <col min="28" max="28" width="1.83203125" style="156" hidden="1" customWidth="1" outlineLevel="1"/>
    <col min="29" max="30" width="7.83203125" style="156" hidden="1" customWidth="1" outlineLevel="1"/>
    <col min="31" max="32" width="7.6640625" style="156" hidden="1" customWidth="1" outlineLevel="1"/>
    <col min="33" max="33" width="3.1640625" style="156" hidden="1" customWidth="1" outlineLevel="1"/>
    <col min="34" max="36" width="7.6640625" style="156" hidden="1" customWidth="1" outlineLevel="1"/>
    <col min="37" max="37" width="7.1640625" style="156" hidden="1" customWidth="1" outlineLevel="1"/>
    <col min="38" max="38" width="7.1640625" style="156" hidden="1" customWidth="1" outlineLevel="1" collapsed="1"/>
    <col min="39" max="41" width="7.6640625" style="156" hidden="1" customWidth="1" outlineLevel="1"/>
    <col min="42" max="42" width="8.1640625" style="156" hidden="1" customWidth="1" outlineLevel="1"/>
    <col min="43" max="43" width="2" style="156" hidden="1" customWidth="1" outlineLevel="1" collapsed="1"/>
    <col min="44" max="44" width="7.6640625" style="156" hidden="1" customWidth="1" outlineLevel="1" collapsed="1"/>
    <col min="45" max="45" width="7.6640625" style="156" hidden="1" customWidth="1" outlineLevel="1"/>
    <col min="46" max="49" width="7.6640625" hidden="1" customWidth="1" outlineLevel="1"/>
    <col min="50" max="50" width="1" customWidth="1" collapsed="1"/>
    <col min="51" max="52" width="7.1640625" hidden="1" customWidth="1" outlineLevel="1"/>
    <col min="53" max="53" width="6.6640625" hidden="1" customWidth="1" outlineLevel="1" collapsed="1"/>
    <col min="54" max="54" width="7.6640625" hidden="1" customWidth="1" outlineLevel="1"/>
    <col min="55" max="55" width="2.33203125" hidden="1" customWidth="1" outlineLevel="1"/>
    <col min="56" max="56" width="7.6640625" hidden="1" customWidth="1" outlineLevel="1" collapsed="1"/>
    <col min="57" max="57" width="7.6640625" hidden="1" customWidth="1" outlineLevel="1"/>
    <col min="58" max="58" width="7.6640625" hidden="1" customWidth="1" collapsed="1"/>
    <col min="59" max="59" width="7.6640625" hidden="1" customWidth="1"/>
    <col min="60" max="60" width="2" hidden="1" customWidth="1"/>
    <col min="61" max="61" width="6.6640625" hidden="1" customWidth="1"/>
    <col min="62" max="62" width="7.1640625" hidden="1" customWidth="1"/>
    <col min="63" max="63" width="6.6640625" bestFit="1" customWidth="1"/>
    <col min="64" max="64" width="7.1640625" customWidth="1"/>
    <col min="65" max="65" width="1" customWidth="1"/>
    <col min="66" max="69" width="7.1640625" customWidth="1"/>
    <col min="70" max="70" width="1" customWidth="1"/>
    <col min="71" max="74" width="7.1640625" style="156" customWidth="1"/>
    <col min="75" max="75" width="1" style="156" customWidth="1"/>
    <col min="76" max="78" width="7.1640625" style="156" customWidth="1"/>
    <col min="79" max="79" width="7.1640625" style="508" customWidth="1"/>
    <col min="80" max="87" width="9" style="156"/>
    <col min="88" max="88" width="9" style="156" collapsed="1"/>
    <col min="89" max="92" width="9" style="156"/>
    <col min="93" max="94" width="9" style="156" collapsed="1"/>
    <col min="95" max="16384" width="9" style="156"/>
  </cols>
  <sheetData>
    <row r="1" spans="1:113" ht="18.75" customHeight="1" x14ac:dyDescent="0.25">
      <c r="A1" s="838" t="s">
        <v>120</v>
      </c>
      <c r="B1" s="838"/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8"/>
      <c r="AD1" s="838"/>
      <c r="AE1" s="838"/>
      <c r="AF1" s="838"/>
      <c r="AG1" s="838"/>
      <c r="AH1" s="838"/>
      <c r="AI1" s="838"/>
      <c r="AJ1" s="838"/>
      <c r="AK1" s="838"/>
      <c r="AL1" s="838"/>
      <c r="AM1" s="838"/>
      <c r="AN1" s="838"/>
      <c r="AO1" s="838"/>
      <c r="AP1" s="838"/>
      <c r="AQ1" s="838"/>
      <c r="AR1" s="838"/>
      <c r="AS1" s="838"/>
      <c r="AT1" s="838"/>
      <c r="AU1" s="838"/>
      <c r="AV1" s="838"/>
      <c r="AW1" s="838"/>
      <c r="AX1" s="838"/>
      <c r="AY1" s="838"/>
      <c r="AZ1" s="838"/>
      <c r="BA1" s="838"/>
      <c r="BB1" s="838"/>
      <c r="BC1" s="838"/>
      <c r="BD1" s="838"/>
      <c r="BE1" s="838"/>
      <c r="BF1" s="838"/>
      <c r="BG1" s="838"/>
      <c r="BH1" s="838"/>
      <c r="BI1" s="838"/>
      <c r="BJ1" s="838"/>
      <c r="BK1" s="838"/>
      <c r="BL1" s="838"/>
      <c r="BM1" s="838"/>
      <c r="BN1" s="838"/>
      <c r="BO1" s="838"/>
      <c r="BP1" s="838"/>
      <c r="BQ1" s="838"/>
      <c r="BR1" s="838"/>
      <c r="BS1" s="838"/>
      <c r="BT1" s="838"/>
      <c r="BU1" s="838"/>
      <c r="BV1" s="838"/>
      <c r="BW1" s="838"/>
      <c r="BX1" s="838"/>
      <c r="BY1" s="838"/>
      <c r="BZ1" s="509"/>
      <c r="CA1" s="509"/>
    </row>
    <row r="2" spans="1:113" ht="12" customHeight="1" x14ac:dyDescent="0.2">
      <c r="A2" s="509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09"/>
      <c r="Y2" s="509"/>
      <c r="Z2" s="511"/>
      <c r="AA2" s="510"/>
      <c r="AB2" s="510"/>
      <c r="AC2" s="510"/>
      <c r="AD2" s="510"/>
      <c r="AE2" s="510"/>
      <c r="AF2" s="510"/>
      <c r="AG2" s="510"/>
      <c r="AH2" s="509"/>
      <c r="AI2" s="509"/>
      <c r="AJ2" s="509"/>
      <c r="AK2" s="509"/>
      <c r="AL2" s="510"/>
      <c r="AM2" s="509"/>
      <c r="AN2" s="509"/>
      <c r="AO2" s="509"/>
      <c r="AP2" s="509"/>
      <c r="AQ2" s="509"/>
      <c r="AR2" s="512"/>
      <c r="AS2" s="512"/>
      <c r="AT2" s="513"/>
      <c r="AU2" s="513"/>
      <c r="AV2" s="513"/>
      <c r="AW2" s="513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09"/>
      <c r="BT2" s="509"/>
      <c r="BU2" s="509"/>
      <c r="BV2" s="509"/>
      <c r="BW2" s="509"/>
      <c r="BX2" s="512"/>
      <c r="BY2" s="512"/>
      <c r="BZ2" s="512"/>
      <c r="CA2" s="512"/>
    </row>
    <row r="3" spans="1:113" s="177" customFormat="1" ht="14.25" customHeight="1" x14ac:dyDescent="0.2">
      <c r="A3" s="515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7">
        <v>1990</v>
      </c>
      <c r="P3" s="518"/>
      <c r="Q3" s="519"/>
      <c r="R3" s="516"/>
      <c r="S3" s="519">
        <v>1991</v>
      </c>
      <c r="T3" s="520"/>
      <c r="U3" s="517"/>
      <c r="V3" s="519"/>
      <c r="W3" s="516"/>
      <c r="X3" s="519"/>
      <c r="Y3" s="521"/>
      <c r="Z3" s="519">
        <v>1992</v>
      </c>
      <c r="AA3" s="519"/>
      <c r="AB3" s="519"/>
      <c r="AC3" s="522"/>
      <c r="AD3" s="521"/>
      <c r="AE3" s="519">
        <v>1993</v>
      </c>
      <c r="AF3" s="517"/>
      <c r="AG3" s="519"/>
      <c r="AH3" s="523"/>
      <c r="AI3" s="519"/>
      <c r="AJ3" s="524">
        <v>1994</v>
      </c>
      <c r="AK3" s="524"/>
      <c r="AL3" s="519"/>
      <c r="AM3" s="519">
        <v>1995</v>
      </c>
      <c r="AN3" s="525"/>
      <c r="AO3" s="519"/>
      <c r="AP3" s="524"/>
      <c r="AQ3" s="519"/>
      <c r="AR3" s="843">
        <v>1996</v>
      </c>
      <c r="AS3" s="843"/>
      <c r="AT3" s="843"/>
      <c r="AU3" s="843"/>
      <c r="AV3" s="526"/>
      <c r="AW3" s="526"/>
      <c r="AX3" s="519"/>
      <c r="AY3" s="839">
        <v>1997</v>
      </c>
      <c r="AZ3" s="839"/>
      <c r="BA3" s="839"/>
      <c r="BB3" s="839"/>
      <c r="BC3" s="528"/>
      <c r="BD3" s="839">
        <v>1998</v>
      </c>
      <c r="BE3" s="839"/>
      <c r="BF3" s="839"/>
      <c r="BG3" s="839"/>
      <c r="BH3" s="528"/>
      <c r="BI3" s="839">
        <v>1999</v>
      </c>
      <c r="BJ3" s="839"/>
      <c r="BK3" s="839"/>
      <c r="BL3" s="839"/>
      <c r="BM3" s="528"/>
      <c r="BN3" s="839">
        <v>2000</v>
      </c>
      <c r="BO3" s="839"/>
      <c r="BP3" s="839"/>
      <c r="BQ3" s="527"/>
      <c r="BR3" s="528"/>
      <c r="BS3" s="839">
        <v>2001</v>
      </c>
      <c r="BT3" s="840"/>
      <c r="BU3" s="840"/>
      <c r="BV3" s="840"/>
      <c r="BW3" s="583"/>
      <c r="BX3" s="841">
        <v>2002</v>
      </c>
      <c r="BY3" s="841"/>
      <c r="BZ3" s="841"/>
      <c r="CA3" s="842"/>
    </row>
    <row r="4" spans="1:113" ht="14.25" customHeight="1" x14ac:dyDescent="0.2">
      <c r="A4" s="529" t="s">
        <v>123</v>
      </c>
      <c r="B4" s="530">
        <v>1990</v>
      </c>
      <c r="C4" s="530">
        <v>1991</v>
      </c>
      <c r="D4" s="530">
        <v>1992</v>
      </c>
      <c r="E4" s="530">
        <v>1993</v>
      </c>
      <c r="F4" s="530">
        <v>1994</v>
      </c>
      <c r="G4" s="530">
        <v>1995</v>
      </c>
      <c r="H4" s="530">
        <v>1996</v>
      </c>
      <c r="I4" s="530">
        <v>1997</v>
      </c>
      <c r="J4" s="530">
        <v>1998</v>
      </c>
      <c r="K4" s="530">
        <v>1999</v>
      </c>
      <c r="L4" s="530">
        <v>2000</v>
      </c>
      <c r="M4" s="530">
        <v>2001</v>
      </c>
      <c r="N4" s="530">
        <v>2002</v>
      </c>
      <c r="O4" s="531" t="s">
        <v>28</v>
      </c>
      <c r="P4" s="531" t="s">
        <v>29</v>
      </c>
      <c r="Q4" s="531" t="s">
        <v>30</v>
      </c>
      <c r="R4" s="532"/>
      <c r="S4" s="531" t="s">
        <v>27</v>
      </c>
      <c r="T4" s="533" t="s">
        <v>28</v>
      </c>
      <c r="U4" s="531" t="s">
        <v>29</v>
      </c>
      <c r="V4" s="531" t="s">
        <v>30</v>
      </c>
      <c r="W4" s="532"/>
      <c r="X4" s="531" t="s">
        <v>27</v>
      </c>
      <c r="Y4" s="534" t="s">
        <v>28</v>
      </c>
      <c r="Z4" s="535" t="s">
        <v>29</v>
      </c>
      <c r="AA4" s="531" t="s">
        <v>30</v>
      </c>
      <c r="AB4" s="532"/>
      <c r="AC4" s="531" t="s">
        <v>27</v>
      </c>
      <c r="AD4" s="531" t="s">
        <v>28</v>
      </c>
      <c r="AE4" s="531" t="s">
        <v>29</v>
      </c>
      <c r="AF4" s="533" t="s">
        <v>30</v>
      </c>
      <c r="AG4" s="532"/>
      <c r="AH4" s="533" t="s">
        <v>27</v>
      </c>
      <c r="AI4" s="533" t="s">
        <v>28</v>
      </c>
      <c r="AJ4" s="533" t="s">
        <v>29</v>
      </c>
      <c r="AK4" s="533" t="s">
        <v>30</v>
      </c>
      <c r="AL4" s="532"/>
      <c r="AM4" s="533" t="s">
        <v>27</v>
      </c>
      <c r="AN4" s="533" t="s">
        <v>28</v>
      </c>
      <c r="AO4" s="533" t="s">
        <v>29</v>
      </c>
      <c r="AP4" s="533" t="s">
        <v>30</v>
      </c>
      <c r="AQ4" s="536"/>
      <c r="AR4" s="533" t="s">
        <v>27</v>
      </c>
      <c r="AS4" s="533" t="s">
        <v>28</v>
      </c>
      <c r="AT4" s="536" t="s">
        <v>29</v>
      </c>
      <c r="AU4" s="536" t="s">
        <v>30</v>
      </c>
      <c r="AV4" s="536">
        <v>2001</v>
      </c>
      <c r="AW4" s="536">
        <v>2002</v>
      </c>
      <c r="AX4" s="536"/>
      <c r="AY4" s="533" t="s">
        <v>27</v>
      </c>
      <c r="AZ4" s="533" t="s">
        <v>28</v>
      </c>
      <c r="BA4" s="533" t="s">
        <v>29</v>
      </c>
      <c r="BB4" s="533" t="s">
        <v>30</v>
      </c>
      <c r="BC4" s="536"/>
      <c r="BD4" s="533" t="s">
        <v>27</v>
      </c>
      <c r="BE4" s="537" t="s">
        <v>28</v>
      </c>
      <c r="BF4" s="537" t="s">
        <v>29</v>
      </c>
      <c r="BG4" s="533" t="s">
        <v>30</v>
      </c>
      <c r="BH4" s="536"/>
      <c r="BI4" s="536" t="s">
        <v>27</v>
      </c>
      <c r="BJ4" s="536" t="s">
        <v>28</v>
      </c>
      <c r="BK4" s="536" t="s">
        <v>29</v>
      </c>
      <c r="BL4" s="533" t="s">
        <v>30</v>
      </c>
      <c r="BM4" s="536"/>
      <c r="BN4" s="533" t="s">
        <v>27</v>
      </c>
      <c r="BO4" s="533" t="s">
        <v>28</v>
      </c>
      <c r="BP4" s="533" t="s">
        <v>29</v>
      </c>
      <c r="BQ4" s="533" t="s">
        <v>30</v>
      </c>
      <c r="BR4" s="536"/>
      <c r="BS4" s="536" t="s">
        <v>27</v>
      </c>
      <c r="BT4" s="536" t="s">
        <v>28</v>
      </c>
      <c r="BU4" s="533" t="s">
        <v>29</v>
      </c>
      <c r="BV4" s="533" t="s">
        <v>30</v>
      </c>
      <c r="BW4" s="536"/>
      <c r="BX4" s="533" t="s">
        <v>27</v>
      </c>
      <c r="BY4" s="536" t="s">
        <v>28</v>
      </c>
      <c r="BZ4" s="536" t="s">
        <v>29</v>
      </c>
      <c r="CA4" s="538" t="s">
        <v>30</v>
      </c>
    </row>
    <row r="5" spans="1:113" s="177" customFormat="1" ht="10.5" customHeight="1" x14ac:dyDescent="0.2">
      <c r="A5" s="539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18"/>
      <c r="P5" s="518"/>
      <c r="Q5" s="518"/>
      <c r="R5" s="518"/>
      <c r="S5" s="518"/>
      <c r="T5" s="541"/>
      <c r="U5" s="518"/>
      <c r="V5" s="518"/>
      <c r="W5" s="518"/>
      <c r="X5" s="518"/>
      <c r="Y5" s="541"/>
      <c r="Z5" s="542"/>
      <c r="AA5" s="518"/>
      <c r="AB5" s="518"/>
      <c r="AC5" s="518"/>
      <c r="AD5" s="518"/>
      <c r="AE5" s="518"/>
      <c r="AF5" s="542"/>
      <c r="AG5" s="518"/>
      <c r="AH5" s="542"/>
      <c r="AI5" s="542"/>
      <c r="AJ5" s="542"/>
      <c r="AK5" s="542"/>
      <c r="AL5" s="518"/>
      <c r="AM5" s="542"/>
      <c r="AN5" s="542"/>
      <c r="AO5" s="542"/>
      <c r="AP5" s="542"/>
      <c r="AQ5" s="542"/>
      <c r="AR5" s="542"/>
      <c r="AS5" s="542"/>
      <c r="AT5" s="526"/>
      <c r="AU5" s="526"/>
      <c r="AV5" s="526"/>
      <c r="AW5" s="526"/>
      <c r="AX5" s="526"/>
      <c r="AY5" s="526"/>
      <c r="AZ5" s="526"/>
      <c r="BA5" s="526"/>
      <c r="BB5" s="526"/>
      <c r="BC5" s="526"/>
      <c r="BD5" s="526"/>
      <c r="BE5" s="526"/>
      <c r="BF5" s="543"/>
      <c r="BG5" s="543"/>
      <c r="BH5" s="526"/>
      <c r="BI5" s="526"/>
      <c r="BJ5" s="526"/>
      <c r="BK5" s="526"/>
      <c r="BL5" s="543"/>
      <c r="BM5" s="526"/>
      <c r="BN5" s="526"/>
      <c r="BO5" s="543"/>
      <c r="BP5" s="526"/>
      <c r="BQ5" s="526"/>
      <c r="BR5" s="526"/>
      <c r="BS5" s="544"/>
      <c r="BT5" s="544"/>
      <c r="BU5" s="544"/>
      <c r="BV5" s="544"/>
      <c r="BW5" s="544"/>
      <c r="BX5" s="544"/>
      <c r="BY5" s="544"/>
      <c r="BZ5" s="544"/>
      <c r="CA5" s="545"/>
    </row>
    <row r="6" spans="1:113" ht="12" customHeight="1" x14ac:dyDescent="0.2">
      <c r="A6" s="546" t="s">
        <v>94</v>
      </c>
      <c r="B6" s="547">
        <f t="shared" ref="B6:B15" si="0">Q6</f>
        <v>86.628991683351288</v>
      </c>
      <c r="C6" s="547">
        <f t="shared" ref="C6:C15" si="1">V6</f>
        <v>92.984108641752613</v>
      </c>
      <c r="D6" s="547">
        <f t="shared" ref="D6:D15" si="2">AA6</f>
        <v>94.680539853554706</v>
      </c>
      <c r="E6" s="547">
        <f t="shared" ref="E6:E15" si="3">AF6</f>
        <v>100.73465941888048</v>
      </c>
      <c r="F6" s="547">
        <f t="shared" ref="F6:F15" si="4">AK6</f>
        <v>97.517800014814213</v>
      </c>
      <c r="G6" s="547">
        <f t="shared" ref="G6:G15" si="5">AP6</f>
        <v>101.09422457407187</v>
      </c>
      <c r="H6" s="547">
        <f t="shared" ref="H6:H15" si="6">AU6</f>
        <v>68.71293663607095</v>
      </c>
      <c r="I6" s="547">
        <f t="shared" ref="I6:I15" si="7">BB6</f>
        <v>70.782726045883948</v>
      </c>
      <c r="J6" s="547">
        <f>BG6</f>
        <v>72.941970310391369</v>
      </c>
      <c r="K6" s="547">
        <f>BL6</f>
        <v>77.530364372469634</v>
      </c>
      <c r="L6" s="547">
        <f>BQ6</f>
        <v>83.063427800269906</v>
      </c>
      <c r="M6" s="547">
        <f>BV6</f>
        <v>91.970310391363043</v>
      </c>
      <c r="N6" s="547">
        <f>CA6</f>
        <v>103</v>
      </c>
      <c r="O6" s="548">
        <v>78.72581124566409</v>
      </c>
      <c r="P6" s="548">
        <v>83.933239057119579</v>
      </c>
      <c r="Q6" s="548">
        <v>86.628991683351288</v>
      </c>
      <c r="R6" s="549"/>
      <c r="S6" s="548">
        <v>86.390638002876045</v>
      </c>
      <c r="T6" s="548">
        <v>87.850805720202246</v>
      </c>
      <c r="U6" s="548">
        <v>90.156110559885519</v>
      </c>
      <c r="V6" s="548">
        <v>92.984108641752613</v>
      </c>
      <c r="W6" s="549"/>
      <c r="X6" s="548">
        <v>96.060702180418374</v>
      </c>
      <c r="Y6" s="548">
        <v>95.246346574115165</v>
      </c>
      <c r="Z6" s="548">
        <v>97.12490495772245</v>
      </c>
      <c r="AA6" s="548">
        <v>94.680539853554706</v>
      </c>
      <c r="AB6" s="547"/>
      <c r="AC6" s="548">
        <v>96.742421848962039</v>
      </c>
      <c r="AD6" s="548">
        <v>92.676552114668723</v>
      </c>
      <c r="AE6" s="548">
        <v>99.076885231281381</v>
      </c>
      <c r="AF6" s="548">
        <v>100.73465941888048</v>
      </c>
      <c r="AG6" s="547"/>
      <c r="AH6" s="548">
        <v>96.662764924038996</v>
      </c>
      <c r="AI6" s="548">
        <v>99.701249711045165</v>
      </c>
      <c r="AJ6" s="548">
        <v>98.594167567449816</v>
      </c>
      <c r="AK6" s="548">
        <v>97.517800014814213</v>
      </c>
      <c r="AL6" s="547"/>
      <c r="AM6" s="548">
        <v>98.490413451616959</v>
      </c>
      <c r="AN6" s="548">
        <v>99.669692865521824</v>
      </c>
      <c r="AO6" s="548">
        <v>98.02701339534876</v>
      </c>
      <c r="AP6" s="548">
        <v>101.09422457407187</v>
      </c>
      <c r="AQ6" s="548"/>
      <c r="AR6" s="548">
        <v>102.91356785206824</v>
      </c>
      <c r="AS6" s="548">
        <v>102.78123104785053</v>
      </c>
      <c r="AT6" s="548">
        <f>'[8]Min_MX (rebase)'!$CD$3</f>
        <v>68.745635568828177</v>
      </c>
      <c r="AU6" s="548">
        <f>'[8]Min_MX (rebase)'!$CE$3</f>
        <v>68.71293663607095</v>
      </c>
      <c r="AV6" s="548">
        <f>BV6</f>
        <v>91.970310391363043</v>
      </c>
      <c r="AW6" s="548">
        <f>CA6</f>
        <v>103</v>
      </c>
      <c r="AX6" s="548"/>
      <c r="AY6" s="548">
        <f>'[8]Min_MX (rebase)'!$CH$3</f>
        <v>70.386108314076239</v>
      </c>
      <c r="AZ6" s="548">
        <f>'[8]Min_MX (rebase)'!$CK$3</f>
        <v>70.725438896082522</v>
      </c>
      <c r="BA6" s="548">
        <f>'[8]Min_MX (rebase)'!$CN3</f>
        <v>70.782726045883948</v>
      </c>
      <c r="BB6" s="548">
        <f>'[8]Min_MX (rebase)'!$CQ$3</f>
        <v>70.782726045883948</v>
      </c>
      <c r="BC6" s="548"/>
      <c r="BD6" s="548">
        <f>'[8]Min_MX (rebase)'!$CT$3</f>
        <v>72.469635627530366</v>
      </c>
      <c r="BE6" s="548">
        <f>'[8]Min_MX (rebase)'!$CW$3</f>
        <v>73.009446693657225</v>
      </c>
      <c r="BF6" s="548">
        <f>'[8]Min_MX (rebase)'!$CZ$3</f>
        <v>73.549257759784084</v>
      </c>
      <c r="BG6" s="548">
        <f>'[8]Min_MX (rebase)'!$DC$3</f>
        <v>72.941970310391369</v>
      </c>
      <c r="BH6" s="548"/>
      <c r="BI6" s="548">
        <f>'[8]Min_MX (rebase)'!$DF$3</f>
        <v>75.506072874493938</v>
      </c>
      <c r="BJ6" s="548">
        <f>'[8]Min_MX (rebase)'!$DI$3</f>
        <v>76.248313090418364</v>
      </c>
      <c r="BK6" s="548">
        <f>'[8]Min_MX (rebase)'!$DL$3</f>
        <v>76.585695006747642</v>
      </c>
      <c r="BL6" s="548">
        <f>'[8]Min_MX (rebase)'!$DO$3</f>
        <v>77.530364372469634</v>
      </c>
      <c r="BM6" s="548"/>
      <c r="BN6" s="548">
        <f>'[8]Min_MX (rebase)'!$DR$3</f>
        <v>79.082321187584341</v>
      </c>
      <c r="BO6" s="548">
        <f>'[8]Min_MX (rebase)'!$DU$3</f>
        <v>80.836707152496629</v>
      </c>
      <c r="BP6" s="548">
        <f>'[8]Min_MX (rebase)'!$DX$3</f>
        <v>81.983805668016203</v>
      </c>
      <c r="BQ6" s="548">
        <f>'[8]Min_MX (rebase)'!$EA$3</f>
        <v>83.063427800269906</v>
      </c>
      <c r="BR6" s="548"/>
      <c r="BS6" s="548">
        <f>'[8]Min_MX (rebase)'!$ED$3</f>
        <v>84.345479082321191</v>
      </c>
      <c r="BT6" s="548">
        <f>'[8]Min_MX (rebase)'!$EG$3</f>
        <v>86.167341430499334</v>
      </c>
      <c r="BU6" s="548">
        <f>'[8]Min_MX (rebase)'!$EJ$3</f>
        <v>89.946018893387318</v>
      </c>
      <c r="BV6" s="548">
        <f>'[8]Min_MX (rebase)'!$EM$3</f>
        <v>91.970310391363043</v>
      </c>
      <c r="BW6" s="548"/>
      <c r="BX6" s="548">
        <f>'[8]Min_MX (rebase)'!$EP$3</f>
        <v>93.184885290148458</v>
      </c>
      <c r="BY6" s="548">
        <f>'[8]Min_MX (rebase)'!$ES$3</f>
        <v>95.411605937921735</v>
      </c>
      <c r="BZ6" s="548">
        <f>'[8]Min_MX (rebase)'!$EV$3</f>
        <v>97.570850202429142</v>
      </c>
      <c r="CA6" s="550">
        <f>'[8]Min_MX (rebase)'!$EY$3</f>
        <v>103</v>
      </c>
    </row>
    <row r="7" spans="1:113" ht="12" customHeight="1" x14ac:dyDescent="0.2">
      <c r="A7" s="551" t="s">
        <v>112</v>
      </c>
      <c r="B7" s="547">
        <f t="shared" si="0"/>
        <v>88.602706314648486</v>
      </c>
      <c r="C7" s="547">
        <f t="shared" si="1"/>
        <v>96.177139381784755</v>
      </c>
      <c r="D7" s="547">
        <f t="shared" si="2"/>
        <v>96.213920829868385</v>
      </c>
      <c r="E7" s="547">
        <f t="shared" si="3"/>
        <v>100.24027262785857</v>
      </c>
      <c r="F7" s="547">
        <f t="shared" si="4"/>
        <v>95.014058416306199</v>
      </c>
      <c r="G7" s="547">
        <f t="shared" si="5"/>
        <v>102.23680279340716</v>
      </c>
      <c r="H7" s="547">
        <f t="shared" si="6"/>
        <v>65.233001480336455</v>
      </c>
      <c r="I7" s="547">
        <f t="shared" si="7"/>
        <v>67.995095033721654</v>
      </c>
      <c r="J7" s="547">
        <f t="shared" ref="J7:J15" si="8">BG7</f>
        <v>72.164316370324954</v>
      </c>
      <c r="K7" s="547">
        <f t="shared" ref="K7:K15" si="9">BL7</f>
        <v>73.697118332311476</v>
      </c>
      <c r="L7" s="547">
        <f t="shared" ref="L7:L15" si="10">BQ7</f>
        <v>76.149601471489888</v>
      </c>
      <c r="M7" s="547">
        <f t="shared" ref="M7:M15" si="11">BV7</f>
        <v>91.048436541998782</v>
      </c>
      <c r="N7" s="547">
        <f t="shared" ref="N7:N15" si="12">CA7</f>
        <v>106.7</v>
      </c>
      <c r="O7" s="548">
        <v>83.335021705693975</v>
      </c>
      <c r="P7" s="548">
        <v>85.889349874241404</v>
      </c>
      <c r="Q7" s="548">
        <v>88.602706314648486</v>
      </c>
      <c r="R7" s="549"/>
      <c r="S7" s="548">
        <v>87.107200057129404</v>
      </c>
      <c r="T7" s="548">
        <v>87.557409349159002</v>
      </c>
      <c r="U7" s="548">
        <v>90.600026731326381</v>
      </c>
      <c r="V7" s="548">
        <v>96.177139381784755</v>
      </c>
      <c r="W7" s="549"/>
      <c r="X7" s="548">
        <v>101.36570401040066</v>
      </c>
      <c r="Y7" s="548">
        <v>99.341806309097151</v>
      </c>
      <c r="Z7" s="548">
        <v>102.54019054582528</v>
      </c>
      <c r="AA7" s="548">
        <v>96.213920829868385</v>
      </c>
      <c r="AB7" s="552"/>
      <c r="AC7" s="548">
        <v>97.970028917218428</v>
      </c>
      <c r="AD7" s="548">
        <v>90.027122842868209</v>
      </c>
      <c r="AE7" s="548">
        <v>98.035447070606125</v>
      </c>
      <c r="AF7" s="548">
        <v>100.24027262785857</v>
      </c>
      <c r="AG7" s="552"/>
      <c r="AH7" s="548">
        <v>91.452321377115936</v>
      </c>
      <c r="AI7" s="548">
        <v>99.647659927737607</v>
      </c>
      <c r="AJ7" s="548">
        <v>97.22720878681146</v>
      </c>
      <c r="AK7" s="548">
        <v>95.014058416306199</v>
      </c>
      <c r="AL7" s="552"/>
      <c r="AM7" s="548">
        <v>97.073465185730072</v>
      </c>
      <c r="AN7" s="548">
        <v>99.78448697765576</v>
      </c>
      <c r="AO7" s="548">
        <v>95.767678936336225</v>
      </c>
      <c r="AP7" s="548">
        <v>102.23680279340716</v>
      </c>
      <c r="AQ7" s="548"/>
      <c r="AR7" s="548">
        <v>106.40982854183889</v>
      </c>
      <c r="AS7" s="548">
        <v>105.58644798516794</v>
      </c>
      <c r="AT7" s="548">
        <f>'[8]Min_MX (rebase)'!$CD$11</f>
        <v>65.254538020857268</v>
      </c>
      <c r="AU7" s="548">
        <f>'[8]Min_MX (rebase)'!$CE$11</f>
        <v>65.233001480336455</v>
      </c>
      <c r="AV7" s="548">
        <f t="shared" ref="AV7:AV15" si="13">BV7</f>
        <v>91.048436541998782</v>
      </c>
      <c r="AW7" s="548">
        <f t="shared" ref="AW7:AW26" si="14">CA7</f>
        <v>106.7</v>
      </c>
      <c r="AX7" s="548"/>
      <c r="AY7" s="548">
        <f>'[8]Min_MX (rebase)'!$CH$11</f>
        <v>66.470848408126798</v>
      </c>
      <c r="AZ7" s="548">
        <f>'[8]Min_MX (rebase)'!$CK$11</f>
        <v>66.952806851930319</v>
      </c>
      <c r="BA7" s="548">
        <f>'[8]Min_MX (rebase)'!$CN11</f>
        <v>67.320662170447577</v>
      </c>
      <c r="BB7" s="548">
        <f>'[8]Min_MX (rebase)'!$CQ$11</f>
        <v>67.995095033721654</v>
      </c>
      <c r="BC7" s="548"/>
      <c r="BD7" s="548">
        <f>'[8]Min_MX (rebase)'!$CT$11</f>
        <v>70.631514408338447</v>
      </c>
      <c r="BE7" s="548">
        <f>'[8]Min_MX (rebase)'!$CW$11</f>
        <v>70.141017780502764</v>
      </c>
      <c r="BF7" s="548">
        <f>'[8]Min_MX (rebase)'!$CZ$11</f>
        <v>73.451870018393635</v>
      </c>
      <c r="BG7" s="548">
        <f>'[8]Min_MX (rebase)'!$DC$11</f>
        <v>72.164316370324954</v>
      </c>
      <c r="BH7" s="548"/>
      <c r="BI7" s="548">
        <f>'[8]Min_MX (rebase)'!$DF$11</f>
        <v>75.168608215818509</v>
      </c>
      <c r="BJ7" s="548">
        <f>'[8]Min_MX (rebase)'!$DI$11</f>
        <v>75.659104843654205</v>
      </c>
      <c r="BK7" s="548">
        <f>'[8]Min_MX (rebase)'!$DL$11</f>
        <v>74.49417535254446</v>
      </c>
      <c r="BL7" s="548">
        <f>'[8]Min_MX (rebase)'!$DO$11</f>
        <v>73.697118332311476</v>
      </c>
      <c r="BM7" s="548"/>
      <c r="BN7" s="548">
        <f>'[8]Min_MX (rebase)'!$DR$11</f>
        <v>73.758430410790936</v>
      </c>
      <c r="BO7" s="548">
        <f>'[8]Min_MX (rebase)'!$DU$11</f>
        <v>75.352544451256904</v>
      </c>
      <c r="BP7" s="548">
        <f>'[8]Min_MX (rebase)'!$DX$11</f>
        <v>75.597792765174745</v>
      </c>
      <c r="BQ7" s="548">
        <f>'[8]Min_MX (rebase)'!$EA$11</f>
        <v>76.149601471489888</v>
      </c>
      <c r="BR7" s="548"/>
      <c r="BS7" s="548">
        <f>'[8]Min_MX (rebase)'!$ED$11</f>
        <v>78.847332924586141</v>
      </c>
      <c r="BT7" s="548">
        <f>'[8]Min_MX (rebase)'!$EG$11</f>
        <v>81.667688534641329</v>
      </c>
      <c r="BU7" s="548">
        <f>'[8]Min_MX (rebase)'!$EJ$11</f>
        <v>87.308399754751704</v>
      </c>
      <c r="BV7" s="548">
        <f>'[8]Min_MX (rebase)'!$EM$11</f>
        <v>91.048436541998782</v>
      </c>
      <c r="BW7" s="548"/>
      <c r="BX7" s="548">
        <f>'[8]Min_MX (rebase)'!$EP$11</f>
        <v>93.991416309012891</v>
      </c>
      <c r="BY7" s="548">
        <f>'[8]Min_MX (rebase)'!$ES$11</f>
        <v>97.05702023298592</v>
      </c>
      <c r="BZ7" s="548">
        <f>'[8]Min_MX (rebase)'!$EV$11</f>
        <v>97.97670141017781</v>
      </c>
      <c r="CA7" s="550">
        <f>'[8]Min_MX (rebase)'!$EY$11</f>
        <v>106.7</v>
      </c>
    </row>
    <row r="8" spans="1:113" ht="12" customHeight="1" x14ac:dyDescent="0.2">
      <c r="A8" s="551" t="s">
        <v>113</v>
      </c>
      <c r="B8" s="547">
        <f t="shared" si="0"/>
        <v>79.757334065752545</v>
      </c>
      <c r="C8" s="547">
        <f t="shared" si="1"/>
        <v>86.063922736189198</v>
      </c>
      <c r="D8" s="547">
        <f t="shared" si="2"/>
        <v>96.949640719118008</v>
      </c>
      <c r="E8" s="547">
        <f t="shared" si="3"/>
        <v>106.26074822227085</v>
      </c>
      <c r="F8" s="547">
        <f t="shared" si="4"/>
        <v>100.057064591486</v>
      </c>
      <c r="G8" s="547">
        <f t="shared" si="5"/>
        <v>100.62306957542317</v>
      </c>
      <c r="H8" s="547">
        <f t="shared" si="6"/>
        <v>80.701042601688968</v>
      </c>
      <c r="I8" s="547">
        <f t="shared" si="7"/>
        <v>81.154771451483569</v>
      </c>
      <c r="J8" s="547">
        <f t="shared" si="8"/>
        <v>84.121892542101037</v>
      </c>
      <c r="K8" s="547">
        <f t="shared" si="9"/>
        <v>91.419406575781863</v>
      </c>
      <c r="L8" s="547">
        <f t="shared" si="10"/>
        <v>92.862870890136321</v>
      </c>
      <c r="M8" s="547">
        <f t="shared" si="11"/>
        <v>98.556535685645557</v>
      </c>
      <c r="N8" s="547">
        <f t="shared" si="12"/>
        <v>98.5</v>
      </c>
      <c r="O8" s="548">
        <v>62.87975423235951</v>
      </c>
      <c r="P8" s="548">
        <v>74.033176179771999</v>
      </c>
      <c r="Q8" s="548">
        <v>79.757334065752545</v>
      </c>
      <c r="R8" s="549"/>
      <c r="S8" s="548">
        <v>81.722129587465005</v>
      </c>
      <c r="T8" s="548">
        <v>83.587316187097997</v>
      </c>
      <c r="U8" s="548">
        <v>86.295555803518681</v>
      </c>
      <c r="V8" s="548">
        <v>86.063922736189198</v>
      </c>
      <c r="W8" s="549"/>
      <c r="X8" s="548">
        <v>94.505583458353186</v>
      </c>
      <c r="Y8" s="548">
        <v>94.004336388530291</v>
      </c>
      <c r="Z8" s="548">
        <v>96.360097334577972</v>
      </c>
      <c r="AA8" s="548">
        <v>96.949640719118008</v>
      </c>
      <c r="AB8" s="552"/>
      <c r="AC8" s="548">
        <v>94.639588828280523</v>
      </c>
      <c r="AD8" s="548">
        <v>95.77828506818345</v>
      </c>
      <c r="AE8" s="548">
        <v>103.67903831021177</v>
      </c>
      <c r="AF8" s="548">
        <v>106.26074822227085</v>
      </c>
      <c r="AG8" s="552"/>
      <c r="AH8" s="548">
        <v>101.53606005302747</v>
      </c>
      <c r="AI8" s="548">
        <v>100.49853154083796</v>
      </c>
      <c r="AJ8" s="548">
        <v>99.763723053293944</v>
      </c>
      <c r="AK8" s="548">
        <v>100.057064591486</v>
      </c>
      <c r="AL8" s="552"/>
      <c r="AM8" s="548">
        <v>97.901077652126176</v>
      </c>
      <c r="AN8" s="548">
        <v>98.470303579631562</v>
      </c>
      <c r="AO8" s="548">
        <v>99.732203360488867</v>
      </c>
      <c r="AP8" s="548">
        <v>100.62306957542317</v>
      </c>
      <c r="AQ8" s="548"/>
      <c r="AR8" s="548">
        <v>101.37327088943704</v>
      </c>
      <c r="AS8" s="548">
        <v>103.66874412165028</v>
      </c>
      <c r="AT8" s="548">
        <f>'[8]Min_MX (rebase)'!$CD$15</f>
        <v>80.863179025554018</v>
      </c>
      <c r="AU8" s="548">
        <f>'[8]Min_MX (rebase)'!$CE$15</f>
        <v>80.701042601688968</v>
      </c>
      <c r="AV8" s="548">
        <f t="shared" si="13"/>
        <v>98.556535685645557</v>
      </c>
      <c r="AW8" s="548">
        <f t="shared" si="14"/>
        <v>98.5</v>
      </c>
      <c r="AX8" s="548"/>
      <c r="AY8" s="548">
        <f>'[8]Min_MX (rebase)'!$CH$15</f>
        <v>82.526516330969656</v>
      </c>
      <c r="AZ8" s="548">
        <f>'[8]Min_MX (rebase)'!$CK$15</f>
        <v>82.459613035837748</v>
      </c>
      <c r="BA8" s="548">
        <f>'[8]Min_MX (rebase)'!$CN15</f>
        <v>81.475541299117879</v>
      </c>
      <c r="BB8" s="548">
        <f>'[8]Min_MX (rebase)'!$CQ$15</f>
        <v>81.154771451483569</v>
      </c>
      <c r="BC8" s="548"/>
      <c r="BD8" s="548">
        <f>'[8]Min_MX (rebase)'!$CT$15</f>
        <v>85.004009623095428</v>
      </c>
      <c r="BE8" s="548">
        <f>'[8]Min_MX (rebase)'!$CW$15</f>
        <v>83.720930232558146</v>
      </c>
      <c r="BF8" s="548">
        <f>'[8]Min_MX (rebase)'!$CZ$15</f>
        <v>79.310344827586206</v>
      </c>
      <c r="BG8" s="548">
        <f>'[8]Min_MX (rebase)'!$DC$15</f>
        <v>84.121892542101037</v>
      </c>
      <c r="BH8" s="548"/>
      <c r="BI8" s="548">
        <f>'[8]Min_MX (rebase)'!$DF$15</f>
        <v>85.886126704089804</v>
      </c>
      <c r="BJ8" s="548">
        <f>'[8]Min_MX (rebase)'!$DI$15</f>
        <v>88.692862870890139</v>
      </c>
      <c r="BK8" s="548">
        <f>'[8]Min_MX (rebase)'!$DL$15</f>
        <v>90.296712109061744</v>
      </c>
      <c r="BL8" s="548">
        <f>'[8]Min_MX (rebase)'!$DO$15</f>
        <v>91.419406575781863</v>
      </c>
      <c r="BM8" s="548"/>
      <c r="BN8" s="548">
        <f>'[8]Min_MX (rebase)'!$DR$15</f>
        <v>92.060946271050511</v>
      </c>
      <c r="BO8" s="548">
        <f>'[8]Min_MX (rebase)'!$DU$15</f>
        <v>93.023255813953483</v>
      </c>
      <c r="BP8" s="548">
        <f>'[8]Min_MX (rebase)'!$DX$15</f>
        <v>92.542101042502011</v>
      </c>
      <c r="BQ8" s="548">
        <f>'[8]Min_MX (rebase)'!$EA$15</f>
        <v>92.862870890136321</v>
      </c>
      <c r="BR8" s="548"/>
      <c r="BS8" s="548">
        <f>'[8]Min_MX (rebase)'!$ED$15</f>
        <v>93.664795509222131</v>
      </c>
      <c r="BT8" s="548">
        <f>'[8]Min_MX (rebase)'!$EG$15</f>
        <v>95.910184442662384</v>
      </c>
      <c r="BU8" s="548">
        <f>'[8]Min_MX (rebase)'!$EJ$15</f>
        <v>98.235765838011218</v>
      </c>
      <c r="BV8" s="548">
        <f>'[8]Min_MX (rebase)'!$EM$15</f>
        <v>98.556535685645557</v>
      </c>
      <c r="BW8" s="548"/>
      <c r="BX8" s="548">
        <f>'[8]Min_MX (rebase)'!$EP$15</f>
        <v>99.518845228548514</v>
      </c>
      <c r="BY8" s="548">
        <f>'[8]Min_MX (rebase)'!$ES$15</f>
        <v>97.19326383319968</v>
      </c>
      <c r="BZ8" s="548">
        <f>'[8]Min_MX (rebase)'!$EV$15</f>
        <v>100.56134723336008</v>
      </c>
      <c r="CA8" s="550">
        <f>'[8]Min_MX (rebase)'!$EY$15</f>
        <v>98.5</v>
      </c>
    </row>
    <row r="9" spans="1:113" ht="12" customHeight="1" x14ac:dyDescent="0.2">
      <c r="A9" s="551" t="s">
        <v>114</v>
      </c>
      <c r="B9" s="547">
        <f t="shared" si="0"/>
        <v>76.709662944252926</v>
      </c>
      <c r="C9" s="547">
        <f t="shared" si="1"/>
        <v>83.326272508142139</v>
      </c>
      <c r="D9" s="547">
        <f t="shared" si="2"/>
        <v>85.240488723847591</v>
      </c>
      <c r="E9" s="547">
        <f t="shared" si="3"/>
        <v>96.210314967339812</v>
      </c>
      <c r="F9" s="547">
        <f t="shared" si="4"/>
        <v>100.95419503440992</v>
      </c>
      <c r="G9" s="547">
        <f t="shared" si="5"/>
        <v>100.00054717350871</v>
      </c>
      <c r="H9" s="547">
        <f t="shared" si="6"/>
        <v>71.492863287530355</v>
      </c>
      <c r="I9" s="547">
        <f t="shared" si="7"/>
        <v>71.01238164603059</v>
      </c>
      <c r="J9" s="547">
        <f t="shared" si="8"/>
        <v>74.799708667152217</v>
      </c>
      <c r="K9" s="547">
        <f t="shared" si="9"/>
        <v>79.169701383831026</v>
      </c>
      <c r="L9" s="547">
        <f t="shared" si="10"/>
        <v>83.903860160233052</v>
      </c>
      <c r="M9" s="547">
        <f t="shared" si="11"/>
        <v>90.021849963583378</v>
      </c>
      <c r="N9" s="547">
        <f t="shared" si="12"/>
        <v>100</v>
      </c>
      <c r="O9" s="548">
        <v>73.029497582373537</v>
      </c>
      <c r="P9" s="548">
        <v>72.211666489836105</v>
      </c>
      <c r="Q9" s="548">
        <v>76.709662944252926</v>
      </c>
      <c r="R9" s="549"/>
      <c r="S9" s="548">
        <v>75.333513465536726</v>
      </c>
      <c r="T9" s="548">
        <v>82.076954804314568</v>
      </c>
      <c r="U9" s="548">
        <v>82.971355255114148</v>
      </c>
      <c r="V9" s="548">
        <v>83.326272508142139</v>
      </c>
      <c r="W9" s="549"/>
      <c r="X9" s="548">
        <v>82.171343767791654</v>
      </c>
      <c r="Y9" s="548">
        <v>80.362731557729361</v>
      </c>
      <c r="Z9" s="548">
        <v>83.40653588918056</v>
      </c>
      <c r="AA9" s="548">
        <v>85.240488723847591</v>
      </c>
      <c r="AB9" s="552"/>
      <c r="AC9" s="548">
        <v>85.95131155740485</v>
      </c>
      <c r="AD9" s="548">
        <v>86.267060483797238</v>
      </c>
      <c r="AE9" s="548">
        <v>94.560329721392435</v>
      </c>
      <c r="AF9" s="548">
        <v>96.210314967339812</v>
      </c>
      <c r="AG9" s="552"/>
      <c r="AH9" s="548">
        <v>98.801018823993843</v>
      </c>
      <c r="AI9" s="548">
        <v>100.38448349772335</v>
      </c>
      <c r="AJ9" s="548">
        <v>100.77766928243182</v>
      </c>
      <c r="AK9" s="548">
        <v>100.95419503440992</v>
      </c>
      <c r="AL9" s="552"/>
      <c r="AM9" s="548">
        <v>99.525261005881589</v>
      </c>
      <c r="AN9" s="548">
        <v>100.63906801704945</v>
      </c>
      <c r="AO9" s="548">
        <v>100.80613260080922</v>
      </c>
      <c r="AP9" s="548">
        <v>100.00054717350871</v>
      </c>
      <c r="AQ9" s="548"/>
      <c r="AR9" s="548">
        <v>99.887111621275395</v>
      </c>
      <c r="AS9" s="548">
        <v>100.43240212317812</v>
      </c>
      <c r="AT9" s="548">
        <f>'[8]Min_MX (rebase)'!$CD$22</f>
        <v>71.918992522599652</v>
      </c>
      <c r="AU9" s="548">
        <f>'[8]Min_MX (rebase)'!$CE$22</f>
        <v>71.492863287530355</v>
      </c>
      <c r="AV9" s="548">
        <f t="shared" si="13"/>
        <v>90.021849963583378</v>
      </c>
      <c r="AW9" s="548">
        <f t="shared" si="14"/>
        <v>100</v>
      </c>
      <c r="AX9" s="548"/>
      <c r="AY9" s="548">
        <f>'[8]Min_MX (rebase)'!$CH$22</f>
        <v>73.347190950231806</v>
      </c>
      <c r="AZ9" s="548">
        <f>'[8]Min_MX (rebase)'!$CK$22</f>
        <v>73.572742698510268</v>
      </c>
      <c r="BA9" s="548">
        <f>'[8]Min_MX (rebase)'!$CN22</f>
        <v>72.978878368536044</v>
      </c>
      <c r="BB9" s="548">
        <f>'[8]Min_MX (rebase)'!$CQ$22</f>
        <v>71.01238164603059</v>
      </c>
      <c r="BC9" s="548"/>
      <c r="BD9" s="548">
        <f>'[8]Min_MX (rebase)'!$CT$22</f>
        <v>75.819373634377257</v>
      </c>
      <c r="BE9" s="548">
        <f>'[8]Min_MX (rebase)'!$CW$22</f>
        <v>73.998543335761099</v>
      </c>
      <c r="BF9" s="548">
        <f>'[8]Min_MX (rebase)'!$CZ$22</f>
        <v>74.508375819373626</v>
      </c>
      <c r="BG9" s="548">
        <f>'[8]Min_MX (rebase)'!$DC$22</f>
        <v>74.799708667152217</v>
      </c>
      <c r="BH9" s="548"/>
      <c r="BI9" s="548">
        <f>'[8]Min_MX (rebase)'!$DF$22</f>
        <v>75.45520757465404</v>
      </c>
      <c r="BJ9" s="548">
        <f>'[8]Min_MX (rebase)'!$DI$22</f>
        <v>77.494537509104148</v>
      </c>
      <c r="BK9" s="548">
        <f>'[8]Min_MX (rebase)'!$DL$22</f>
        <v>77.64020393299343</v>
      </c>
      <c r="BL9" s="548">
        <f>'[8]Min_MX (rebase)'!$DO$22</f>
        <v>79.169701383831026</v>
      </c>
      <c r="BM9" s="548"/>
      <c r="BN9" s="548">
        <f>'[8]Min_MX (rebase)'!$DR$22</f>
        <v>81.35469774217043</v>
      </c>
      <c r="BO9" s="548">
        <f>'[8]Min_MX (rebase)'!$DU$22</f>
        <v>81.281864530225761</v>
      </c>
      <c r="BP9" s="548">
        <f>'[8]Min_MX (rebase)'!$DX$22</f>
        <v>83.029861616897293</v>
      </c>
      <c r="BQ9" s="548">
        <f>'[8]Min_MX (rebase)'!$EA$22</f>
        <v>83.903860160233052</v>
      </c>
      <c r="BR9" s="548"/>
      <c r="BS9" s="548">
        <f>'[8]Min_MX (rebase)'!$ED$22</f>
        <v>83.612527312454461</v>
      </c>
      <c r="BT9" s="548">
        <f>'[8]Min_MX (rebase)'!$EG$22</f>
        <v>84.923525127458106</v>
      </c>
      <c r="BU9" s="548">
        <f>'[8]Min_MX (rebase)'!$EJ$22</f>
        <v>89.147851420247619</v>
      </c>
      <c r="BV9" s="548">
        <f>'[8]Min_MX (rebase)'!$EM$22</f>
        <v>90.021849963583378</v>
      </c>
      <c r="BW9" s="548"/>
      <c r="BX9" s="548">
        <f>'[8]Min_MX (rebase)'!$EP$22</f>
        <v>91.114348142753087</v>
      </c>
      <c r="BY9" s="548">
        <f>'[8]Min_MX (rebase)'!$ES$22</f>
        <v>93.590677348871083</v>
      </c>
      <c r="BZ9" s="548">
        <f>'[8]Min_MX (rebase)'!$EV$22</f>
        <v>96.212672978878359</v>
      </c>
      <c r="CA9" s="550">
        <f>'[8]Min_MX (rebase)'!$EY$22</f>
        <v>100</v>
      </c>
    </row>
    <row r="10" spans="1:113" ht="12" customHeight="1" x14ac:dyDescent="0.2">
      <c r="A10" s="551" t="s">
        <v>115</v>
      </c>
      <c r="B10" s="547">
        <f t="shared" si="0"/>
        <v>104.00706415514851</v>
      </c>
      <c r="C10" s="547">
        <f t="shared" si="1"/>
        <v>105.11341150407529</v>
      </c>
      <c r="D10" s="547">
        <f t="shared" si="2"/>
        <v>101.2038806680998</v>
      </c>
      <c r="E10" s="547">
        <f t="shared" si="3"/>
        <v>104.29785444603962</v>
      </c>
      <c r="F10" s="547">
        <f t="shared" si="4"/>
        <v>94.859656260198534</v>
      </c>
      <c r="G10" s="547">
        <f t="shared" si="5"/>
        <v>99.70438051120216</v>
      </c>
      <c r="H10" s="547">
        <f t="shared" si="6"/>
        <v>73.007911817999528</v>
      </c>
      <c r="I10" s="547">
        <f t="shared" si="7"/>
        <v>72.531551596139579</v>
      </c>
      <c r="J10" s="547">
        <f t="shared" si="8"/>
        <v>72.976985894580551</v>
      </c>
      <c r="K10" s="547">
        <f t="shared" si="9"/>
        <v>80.103934669636232</v>
      </c>
      <c r="L10" s="547">
        <f t="shared" si="10"/>
        <v>80.623608017817375</v>
      </c>
      <c r="M10" s="547">
        <f t="shared" si="11"/>
        <v>83.296213808463264</v>
      </c>
      <c r="N10" s="547">
        <f t="shared" si="12"/>
        <v>99.8</v>
      </c>
      <c r="O10" s="548">
        <v>104.91656212661893</v>
      </c>
      <c r="P10" s="548">
        <v>99.649760657737403</v>
      </c>
      <c r="Q10" s="548">
        <v>104.00706415514851</v>
      </c>
      <c r="R10" s="549"/>
      <c r="S10" s="548">
        <v>99.700739246808268</v>
      </c>
      <c r="T10" s="548">
        <v>101.35767588505809</v>
      </c>
      <c r="U10" s="548">
        <v>102.98171030367971</v>
      </c>
      <c r="V10" s="548">
        <v>105.11341150407529</v>
      </c>
      <c r="W10" s="549"/>
      <c r="X10" s="548">
        <v>102.21137886459334</v>
      </c>
      <c r="Y10" s="548">
        <v>100.72274988922815</v>
      </c>
      <c r="Z10" s="548">
        <v>98.297952283477116</v>
      </c>
      <c r="AA10" s="548">
        <v>101.2038806680998</v>
      </c>
      <c r="AB10" s="552"/>
      <c r="AC10" s="548">
        <v>103.25263795129942</v>
      </c>
      <c r="AD10" s="548">
        <v>104.33697720893909</v>
      </c>
      <c r="AE10" s="548">
        <v>102.4581274437395</v>
      </c>
      <c r="AF10" s="548">
        <v>104.29785444603962</v>
      </c>
      <c r="AG10" s="552"/>
      <c r="AH10" s="548">
        <v>101.68067234528971</v>
      </c>
      <c r="AI10" s="548">
        <v>97.046684951117882</v>
      </c>
      <c r="AJ10" s="548">
        <v>95.5933169644331</v>
      </c>
      <c r="AK10" s="548">
        <v>94.859656260198534</v>
      </c>
      <c r="AL10" s="552"/>
      <c r="AM10" s="548">
        <v>96.665958172844739</v>
      </c>
      <c r="AN10" s="548">
        <v>96.714670235478692</v>
      </c>
      <c r="AO10" s="548">
        <v>97.022645394264373</v>
      </c>
      <c r="AP10" s="548">
        <v>99.70438051120216</v>
      </c>
      <c r="AQ10" s="548"/>
      <c r="AR10" s="548">
        <v>100.72017928842124</v>
      </c>
      <c r="AS10" s="548">
        <v>102.1651913739942</v>
      </c>
      <c r="AT10" s="548">
        <f>'[8]Min_MX (rebase)'!$CD$26</f>
        <v>72.659558268531839</v>
      </c>
      <c r="AU10" s="548">
        <f>'[8]Min_MX (rebase)'!$CE$26</f>
        <v>73.007911817999528</v>
      </c>
      <c r="AV10" s="548">
        <f t="shared" si="13"/>
        <v>83.296213808463264</v>
      </c>
      <c r="AW10" s="548">
        <f t="shared" si="14"/>
        <v>99.8</v>
      </c>
      <c r="AX10" s="548"/>
      <c r="AY10" s="548">
        <f>'[8]Min_MX (rebase)'!$CH$26</f>
        <v>74.782886033939022</v>
      </c>
      <c r="AZ10" s="548">
        <f>'[8]Min_MX (rebase)'!$CK$26</f>
        <v>74.866666441328761</v>
      </c>
      <c r="BA10" s="548">
        <f>'[8]Min_MX (rebase)'!$CN26</f>
        <v>75.42687453600594</v>
      </c>
      <c r="BB10" s="548">
        <f>'[8]Min_MX (rebase)'!$CQ$26</f>
        <v>72.531551596139579</v>
      </c>
      <c r="BC10" s="548"/>
      <c r="BD10" s="548">
        <f>'[8]Min_MX (rebase)'!$CT$26</f>
        <v>71.269487750556806</v>
      </c>
      <c r="BE10" s="548">
        <f>'[8]Min_MX (rebase)'!$CW$26</f>
        <v>77.876763177431343</v>
      </c>
      <c r="BF10" s="548">
        <f>'[8]Min_MX (rebase)'!$CZ$26</f>
        <v>73.645137342242023</v>
      </c>
      <c r="BG10" s="548">
        <f>'[8]Min_MX (rebase)'!$DC$26</f>
        <v>72.976985894580551</v>
      </c>
      <c r="BH10" s="548"/>
      <c r="BI10" s="548">
        <f>'[8]Min_MX (rebase)'!$DF$26</f>
        <v>73.570898292501866</v>
      </c>
      <c r="BJ10" s="548">
        <f>'[8]Min_MX (rebase)'!$DI$26</f>
        <v>77.654046028210843</v>
      </c>
      <c r="BK10" s="548">
        <f>'[8]Min_MX (rebase)'!$DL$26</f>
        <v>78.619153674832972</v>
      </c>
      <c r="BL10" s="548">
        <f>'[8]Min_MX (rebase)'!$DO$26</f>
        <v>80.103934669636232</v>
      </c>
      <c r="BM10" s="548"/>
      <c r="BN10" s="548">
        <f>'[8]Min_MX (rebase)'!$DR$26</f>
        <v>80.029695619896074</v>
      </c>
      <c r="BO10" s="548">
        <f>'[8]Min_MX (rebase)'!$DU$26</f>
        <v>80.549368968077218</v>
      </c>
      <c r="BP10" s="548">
        <f>'[8]Min_MX (rebase)'!$DX$26</f>
        <v>80.475129918337046</v>
      </c>
      <c r="BQ10" s="548">
        <f>'[8]Min_MX (rebase)'!$EA$26</f>
        <v>80.623608017817375</v>
      </c>
      <c r="BR10" s="548"/>
      <c r="BS10" s="548">
        <f>'[8]Min_MX (rebase)'!$ED$26</f>
        <v>80.920564216778033</v>
      </c>
      <c r="BT10" s="548">
        <f>'[8]Min_MX (rebase)'!$EG$26</f>
        <v>81.885671863400162</v>
      </c>
      <c r="BU10" s="548">
        <f>'[8]Min_MX (rebase)'!$EJ$26</f>
        <v>82.999257609502607</v>
      </c>
      <c r="BV10" s="548">
        <f>'[8]Min_MX (rebase)'!$EM$26</f>
        <v>83.296213808463264</v>
      </c>
      <c r="BW10" s="548"/>
      <c r="BX10" s="548">
        <f>'[8]Min_MX (rebase)'!$EP$26</f>
        <v>84.706755753526352</v>
      </c>
      <c r="BY10" s="548">
        <f>'[8]Min_MX (rebase)'!$ES$26</f>
        <v>84.780994803266523</v>
      </c>
      <c r="BZ10" s="548">
        <f>'[8]Min_MX (rebase)'!$EV$26</f>
        <v>98.292501855976255</v>
      </c>
      <c r="CA10" s="550">
        <f>'[8]Min_MX (rebase)'!$EY$26</f>
        <v>99.8</v>
      </c>
    </row>
    <row r="11" spans="1:113" ht="12" customHeight="1" x14ac:dyDescent="0.2">
      <c r="A11" s="551" t="s">
        <v>116</v>
      </c>
      <c r="B11" s="547">
        <f t="shared" si="0"/>
        <v>94.694471306960082</v>
      </c>
      <c r="C11" s="547">
        <f t="shared" si="1"/>
        <v>95.719357369578603</v>
      </c>
      <c r="D11" s="547">
        <f t="shared" si="2"/>
        <v>99.557499181819807</v>
      </c>
      <c r="E11" s="547">
        <f t="shared" si="3"/>
        <v>99.76980197677085</v>
      </c>
      <c r="F11" s="547">
        <f t="shared" si="4"/>
        <v>99.258899723913075</v>
      </c>
      <c r="G11" s="547">
        <f t="shared" si="5"/>
        <v>100.94692332266213</v>
      </c>
      <c r="H11" s="547">
        <f t="shared" si="6"/>
        <v>72.705118438533106</v>
      </c>
      <c r="I11" s="547">
        <f t="shared" si="7"/>
        <v>76.230769230769226</v>
      </c>
      <c r="J11" s="547">
        <f t="shared" si="8"/>
        <v>70.230769230769226</v>
      </c>
      <c r="K11" s="547">
        <f t="shared" si="9"/>
        <v>76.153846153846146</v>
      </c>
      <c r="L11" s="547">
        <f t="shared" si="10"/>
        <v>93.384615384615387</v>
      </c>
      <c r="M11" s="547">
        <f t="shared" si="11"/>
        <v>95.076923076923066</v>
      </c>
      <c r="N11" s="547">
        <f t="shared" si="12"/>
        <v>100.2</v>
      </c>
      <c r="O11" s="548">
        <v>87.02733772411942</v>
      </c>
      <c r="P11" s="548">
        <v>89.616985711163366</v>
      </c>
      <c r="Q11" s="548">
        <v>94.694471306960082</v>
      </c>
      <c r="R11" s="549"/>
      <c r="S11" s="548">
        <v>89.387299753261601</v>
      </c>
      <c r="T11" s="548">
        <v>94.837696676815369</v>
      </c>
      <c r="U11" s="548">
        <v>95.262005786905263</v>
      </c>
      <c r="V11" s="548">
        <v>95.719357369578603</v>
      </c>
      <c r="W11" s="549"/>
      <c r="X11" s="548">
        <v>96.174974756393027</v>
      </c>
      <c r="Y11" s="548">
        <v>97.033889664759229</v>
      </c>
      <c r="Z11" s="548">
        <v>98.278307090368372</v>
      </c>
      <c r="AA11" s="548">
        <v>99.557499181819807</v>
      </c>
      <c r="AB11" s="552"/>
      <c r="AC11" s="548">
        <v>102.54236280584902</v>
      </c>
      <c r="AD11" s="548">
        <v>101.08148722809098</v>
      </c>
      <c r="AE11" s="548">
        <v>101.1251886961108</v>
      </c>
      <c r="AF11" s="548">
        <v>99.76980197677085</v>
      </c>
      <c r="AG11" s="552"/>
      <c r="AH11" s="548">
        <v>100.09212119940119</v>
      </c>
      <c r="AI11" s="548">
        <v>98.567299132313806</v>
      </c>
      <c r="AJ11" s="548">
        <v>99.336906792250218</v>
      </c>
      <c r="AK11" s="548">
        <v>99.258899723913075</v>
      </c>
      <c r="AL11" s="552"/>
      <c r="AM11" s="548">
        <v>98.407311474288932</v>
      </c>
      <c r="AN11" s="548">
        <v>99.296181474584131</v>
      </c>
      <c r="AO11" s="548">
        <v>100.48788597548169</v>
      </c>
      <c r="AP11" s="548">
        <v>100.94692332266213</v>
      </c>
      <c r="AQ11" s="548"/>
      <c r="AR11" s="548">
        <v>99.964989388635217</v>
      </c>
      <c r="AS11" s="548">
        <v>99.055804788037094</v>
      </c>
      <c r="AT11" s="548">
        <f>'[8]Min_MX (rebase)'!$CD$32</f>
        <v>72.493097858952098</v>
      </c>
      <c r="AU11" s="548">
        <f>'[8]Min_MX (rebase)'!$CE$32</f>
        <v>72.705118438533106</v>
      </c>
      <c r="AV11" s="548">
        <f t="shared" si="13"/>
        <v>95.076923076923066</v>
      </c>
      <c r="AW11" s="548">
        <f t="shared" si="14"/>
        <v>100.2</v>
      </c>
      <c r="AX11" s="548"/>
      <c r="AY11" s="548">
        <f>'[8]Min_MX (rebase)'!$CH$32</f>
        <v>74.558420668642739</v>
      </c>
      <c r="AZ11" s="548">
        <f>'[8]Min_MX (rebase)'!$CK$32</f>
        <v>75.207452108991959</v>
      </c>
      <c r="BA11" s="548">
        <f>'[8]Min_MX (rebase)'!$CN32</f>
        <v>74.307692307692307</v>
      </c>
      <c r="BB11" s="548">
        <f>'[8]Min_MX (rebase)'!$CQ$32</f>
        <v>76.230769230769226</v>
      </c>
      <c r="BC11" s="548"/>
      <c r="BD11" s="548">
        <f>'[8]Min_MX (rebase)'!$CT$32</f>
        <v>73.692307692307693</v>
      </c>
      <c r="BE11" s="548">
        <f>'[8]Min_MX (rebase)'!$CW$32</f>
        <v>72.461538461538467</v>
      </c>
      <c r="BF11" s="548">
        <f>'[8]Min_MX (rebase)'!$CZ$32</f>
        <v>70.461538461538453</v>
      </c>
      <c r="BG11" s="548">
        <f>'[8]Min_MX (rebase)'!$DC$32</f>
        <v>70.230769230769226</v>
      </c>
      <c r="BH11" s="548"/>
      <c r="BI11" s="548">
        <f>'[8]Min_MX (rebase)'!$DF$32</f>
        <v>72.230769230769226</v>
      </c>
      <c r="BJ11" s="548">
        <f>'[8]Min_MX (rebase)'!$DI$32</f>
        <v>71.615384615384613</v>
      </c>
      <c r="BK11" s="548">
        <f>'[8]Min_MX (rebase)'!$DL$32</f>
        <v>73.615384615384613</v>
      </c>
      <c r="BL11" s="548">
        <f>'[8]Min_MX (rebase)'!$DO$32</f>
        <v>76.153846153846146</v>
      </c>
      <c r="BM11" s="548"/>
      <c r="BN11" s="548">
        <f>'[8]Min_MX (rebase)'!$DR$32</f>
        <v>77.692307692307693</v>
      </c>
      <c r="BO11" s="548">
        <f>'[8]Min_MX (rebase)'!$DU$32</f>
        <v>83.692307692307693</v>
      </c>
      <c r="BP11" s="548">
        <f>'[8]Min_MX (rebase)'!$DX$32</f>
        <v>89</v>
      </c>
      <c r="BQ11" s="548">
        <f>'[8]Min_MX (rebase)'!$EA$32</f>
        <v>93.384615384615387</v>
      </c>
      <c r="BR11" s="548"/>
      <c r="BS11" s="548">
        <f>'[8]Min_MX (rebase)'!$ED$32</f>
        <v>92.84615384615384</v>
      </c>
      <c r="BT11" s="548">
        <f>'[8]Min_MX (rebase)'!$EG$32</f>
        <v>94.384615384615387</v>
      </c>
      <c r="BU11" s="548">
        <f>'[8]Min_MX (rebase)'!$EJ$32</f>
        <v>95.230769230769226</v>
      </c>
      <c r="BV11" s="548">
        <f>'[8]Min_MX (rebase)'!$EM$32</f>
        <v>95.076923076923066</v>
      </c>
      <c r="BW11" s="548"/>
      <c r="BX11" s="548">
        <f>'[8]Min_MX (rebase)'!$EP$32</f>
        <v>89.384615384615387</v>
      </c>
      <c r="BY11" s="548">
        <f>'[8]Min_MX (rebase)'!$ES$32</f>
        <v>93.692307692307679</v>
      </c>
      <c r="BZ11" s="548">
        <f>'[8]Min_MX (rebase)'!$EV$32</f>
        <v>94.692307692307693</v>
      </c>
      <c r="CA11" s="550">
        <f>'[8]Min_MX (rebase)'!$EY$32</f>
        <v>100.2</v>
      </c>
    </row>
    <row r="12" spans="1:113" ht="12" customHeight="1" x14ac:dyDescent="0.2">
      <c r="A12" s="551" t="s">
        <v>117</v>
      </c>
      <c r="B12" s="547">
        <f t="shared" si="0"/>
        <v>81.766650629484076</v>
      </c>
      <c r="C12" s="547">
        <f t="shared" si="1"/>
        <v>85.40809193398394</v>
      </c>
      <c r="D12" s="547">
        <f t="shared" si="2"/>
        <v>91.708740469483345</v>
      </c>
      <c r="E12" s="547">
        <f t="shared" si="3"/>
        <v>92.698625522414702</v>
      </c>
      <c r="F12" s="547">
        <f t="shared" si="4"/>
        <v>96.954058444137104</v>
      </c>
      <c r="G12" s="547">
        <f t="shared" si="5"/>
        <v>100.31408352699003</v>
      </c>
      <c r="H12" s="547">
        <f t="shared" si="6"/>
        <v>62.791081707438742</v>
      </c>
      <c r="I12" s="547">
        <f t="shared" si="7"/>
        <v>64.312039312039303</v>
      </c>
      <c r="J12" s="547">
        <f t="shared" si="8"/>
        <v>65.110565110565105</v>
      </c>
      <c r="K12" s="547">
        <f t="shared" si="9"/>
        <v>79.054054054054049</v>
      </c>
      <c r="L12" s="547">
        <f t="shared" si="10"/>
        <v>93.734643734643726</v>
      </c>
      <c r="M12" s="547">
        <f t="shared" si="11"/>
        <v>96.253071253071241</v>
      </c>
      <c r="N12" s="547">
        <f t="shared" si="12"/>
        <v>100</v>
      </c>
      <c r="O12" s="548">
        <v>67.199310179725131</v>
      </c>
      <c r="P12" s="548">
        <v>82.514892149771882</v>
      </c>
      <c r="Q12" s="548">
        <v>81.766650629484076</v>
      </c>
      <c r="R12" s="549"/>
      <c r="S12" s="548">
        <v>85.207767182368244</v>
      </c>
      <c r="T12" s="548">
        <v>84.614417277386167</v>
      </c>
      <c r="U12" s="548">
        <v>85.541087815442566</v>
      </c>
      <c r="V12" s="548">
        <v>85.40809193398394</v>
      </c>
      <c r="W12" s="549"/>
      <c r="X12" s="548">
        <v>87.019883940601233</v>
      </c>
      <c r="Y12" s="548">
        <v>90.881217813343468</v>
      </c>
      <c r="Z12" s="548">
        <v>90.491824700060533</v>
      </c>
      <c r="AA12" s="548">
        <v>91.708740469483345</v>
      </c>
      <c r="AB12" s="552"/>
      <c r="AC12" s="548">
        <v>92.630170671256295</v>
      </c>
      <c r="AD12" s="548">
        <v>92.550340641186821</v>
      </c>
      <c r="AE12" s="548">
        <v>92.740068792293869</v>
      </c>
      <c r="AF12" s="548">
        <v>92.698625522414702</v>
      </c>
      <c r="AG12" s="552"/>
      <c r="AH12" s="548">
        <v>95.248273194156852</v>
      </c>
      <c r="AI12" s="548">
        <v>96.49731419717213</v>
      </c>
      <c r="AJ12" s="548">
        <v>98.47654718556818</v>
      </c>
      <c r="AK12" s="548">
        <v>96.954058444137104</v>
      </c>
      <c r="AL12" s="552"/>
      <c r="AM12" s="548">
        <v>96.678328198831849</v>
      </c>
      <c r="AN12" s="548">
        <v>98.266088514749839</v>
      </c>
      <c r="AO12" s="548">
        <v>99.793784861385205</v>
      </c>
      <c r="AP12" s="548">
        <v>100.31408352699003</v>
      </c>
      <c r="AQ12" s="548"/>
      <c r="AR12" s="548">
        <v>100.46822161964954</v>
      </c>
      <c r="AS12" s="548">
        <v>101.57602251579986</v>
      </c>
      <c r="AT12" s="548">
        <f>'[8]Min_MX (rebase)'!$CD$37</f>
        <v>62.937699955606142</v>
      </c>
      <c r="AU12" s="548">
        <f>'[8]Min_MX (rebase)'!$CE$37</f>
        <v>62.791081707438742</v>
      </c>
      <c r="AV12" s="548">
        <f t="shared" si="13"/>
        <v>96.253071253071241</v>
      </c>
      <c r="AW12" s="548">
        <f t="shared" si="14"/>
        <v>100</v>
      </c>
      <c r="AX12" s="548"/>
      <c r="AY12" s="548">
        <f>'[8]Min_MX (rebase)'!$CH$37</f>
        <v>63.676456202003109</v>
      </c>
      <c r="AZ12" s="548">
        <f>'[8]Min_MX (rebase)'!$CK$37</f>
        <v>64.374481676555632</v>
      </c>
      <c r="BA12" s="548">
        <f>'[8]Min_MX (rebase)'!$CN37</f>
        <v>64.680589680589677</v>
      </c>
      <c r="BB12" s="548">
        <f>'[8]Min_MX (rebase)'!$CQ$37</f>
        <v>64.312039312039303</v>
      </c>
      <c r="BC12" s="548"/>
      <c r="BD12" s="548">
        <f>'[8]Min_MX (rebase)'!$CT$37</f>
        <v>62.653562653562645</v>
      </c>
      <c r="BE12" s="548">
        <f>'[8]Min_MX (rebase)'!$CW$37</f>
        <v>74.754299754299751</v>
      </c>
      <c r="BF12" s="548">
        <f>'[8]Min_MX (rebase)'!$CZ$37</f>
        <v>68.673218673218656</v>
      </c>
      <c r="BG12" s="548">
        <f>'[8]Min_MX (rebase)'!$DC$37</f>
        <v>65.110565110565105</v>
      </c>
      <c r="BH12" s="548"/>
      <c r="BI12" s="548">
        <f>'[8]Min_MX (rebase)'!$DF$37</f>
        <v>64.680589680589677</v>
      </c>
      <c r="BJ12" s="548">
        <f>'[8]Min_MX (rebase)'!$DI$37</f>
        <v>65.847665847665851</v>
      </c>
      <c r="BK12" s="548">
        <f>'[8]Min_MX (rebase)'!$DL$37</f>
        <v>67.321867321867316</v>
      </c>
      <c r="BL12" s="548">
        <f>'[8]Min_MX (rebase)'!$DO$37</f>
        <v>79.054054054054049</v>
      </c>
      <c r="BM12" s="548"/>
      <c r="BN12" s="548">
        <f>'[8]Min_MX (rebase)'!$DR$37</f>
        <v>91.707616707616708</v>
      </c>
      <c r="BO12" s="548">
        <f>'[8]Min_MX (rebase)'!$DU$37</f>
        <v>91.953316953316943</v>
      </c>
      <c r="BP12" s="548">
        <f>'[8]Min_MX (rebase)'!$DX$37</f>
        <v>92.014742014742012</v>
      </c>
      <c r="BQ12" s="548">
        <f>'[8]Min_MX (rebase)'!$EA$37</f>
        <v>93.734643734643726</v>
      </c>
      <c r="BR12" s="548"/>
      <c r="BS12" s="548">
        <f>'[8]Min_MX (rebase)'!$ED$37</f>
        <v>94.656019656019637</v>
      </c>
      <c r="BT12" s="548">
        <f>'[8]Min_MX (rebase)'!$EG$37</f>
        <v>93.918918918918919</v>
      </c>
      <c r="BU12" s="548">
        <f>'[8]Min_MX (rebase)'!$EJ$37</f>
        <v>95.085995085995094</v>
      </c>
      <c r="BV12" s="548">
        <f>'[8]Min_MX (rebase)'!$EM$37</f>
        <v>96.253071253071241</v>
      </c>
      <c r="BW12" s="548"/>
      <c r="BX12" s="548">
        <f>'[8]Min_MX (rebase)'!$EP$37</f>
        <v>96.375921375921365</v>
      </c>
      <c r="BY12" s="548">
        <f>'[8]Min_MX (rebase)'!$ES$37</f>
        <v>96.683046683046683</v>
      </c>
      <c r="BZ12" s="548">
        <f>'[8]Min_MX (rebase)'!$EV$37</f>
        <v>100</v>
      </c>
      <c r="CA12" s="550">
        <f>'[8]Min_MX (rebase)'!$EY$37</f>
        <v>100</v>
      </c>
    </row>
    <row r="13" spans="1:113" ht="12" customHeight="1" x14ac:dyDescent="0.2">
      <c r="A13" s="551" t="s">
        <v>118</v>
      </c>
      <c r="B13" s="547">
        <f t="shared" si="0"/>
        <v>90.066474313047834</v>
      </c>
      <c r="C13" s="547">
        <f t="shared" si="1"/>
        <v>97.520622490667236</v>
      </c>
      <c r="D13" s="547">
        <f t="shared" si="2"/>
        <v>95.167593259689241</v>
      </c>
      <c r="E13" s="547">
        <f t="shared" si="3"/>
        <v>106.79439098836463</v>
      </c>
      <c r="F13" s="547">
        <f t="shared" si="4"/>
        <v>101.64020653175103</v>
      </c>
      <c r="G13" s="547">
        <f t="shared" si="5"/>
        <v>99.43849108277935</v>
      </c>
      <c r="H13" s="547">
        <f t="shared" si="6"/>
        <v>71.66822984575596</v>
      </c>
      <c r="I13" s="547">
        <f t="shared" si="7"/>
        <v>75.69296375266525</v>
      </c>
      <c r="J13" s="547">
        <f t="shared" si="8"/>
        <v>76.261549395877765</v>
      </c>
      <c r="K13" s="547">
        <f t="shared" si="9"/>
        <v>85.714285714285722</v>
      </c>
      <c r="L13" s="547">
        <f t="shared" si="10"/>
        <v>90.049751243781103</v>
      </c>
      <c r="M13" s="547">
        <f t="shared" si="11"/>
        <v>92.181947405827998</v>
      </c>
      <c r="N13" s="547">
        <f t="shared" si="12"/>
        <v>101.2</v>
      </c>
      <c r="O13" s="548">
        <v>75.641794571000503</v>
      </c>
      <c r="P13" s="548">
        <v>92.043697165328325</v>
      </c>
      <c r="Q13" s="548">
        <v>90.066474313047834</v>
      </c>
      <c r="R13" s="549"/>
      <c r="S13" s="548">
        <v>95.324652633235303</v>
      </c>
      <c r="T13" s="548">
        <v>93.667485163777954</v>
      </c>
      <c r="U13" s="548">
        <v>96.315709414305132</v>
      </c>
      <c r="V13" s="548">
        <v>97.520622490667236</v>
      </c>
      <c r="W13" s="549"/>
      <c r="X13" s="548">
        <v>96.861635002814978</v>
      </c>
      <c r="Y13" s="548">
        <v>98.359318534437122</v>
      </c>
      <c r="Z13" s="548">
        <v>96.854809206966152</v>
      </c>
      <c r="AA13" s="548">
        <v>95.167593259689241</v>
      </c>
      <c r="AB13" s="552"/>
      <c r="AC13" s="548">
        <v>104.89273873100886</v>
      </c>
      <c r="AD13" s="548">
        <v>99.55956779703908</v>
      </c>
      <c r="AE13" s="548">
        <v>106.07728557312177</v>
      </c>
      <c r="AF13" s="548">
        <v>106.79439098836463</v>
      </c>
      <c r="AG13" s="552"/>
      <c r="AH13" s="548">
        <v>107.12550089676884</v>
      </c>
      <c r="AI13" s="548">
        <v>102.05934980901752</v>
      </c>
      <c r="AJ13" s="548">
        <v>101.35782862752403</v>
      </c>
      <c r="AK13" s="548">
        <v>101.64020653175103</v>
      </c>
      <c r="AL13" s="552"/>
      <c r="AM13" s="548">
        <v>105.49555200393542</v>
      </c>
      <c r="AN13" s="548">
        <v>101.66612303273219</v>
      </c>
      <c r="AO13" s="548">
        <v>100.24073879109669</v>
      </c>
      <c r="AP13" s="548">
        <v>99.43849108277935</v>
      </c>
      <c r="AQ13" s="548"/>
      <c r="AR13" s="548">
        <v>100.2210149544695</v>
      </c>
      <c r="AS13" s="548">
        <v>100.40884394455556</v>
      </c>
      <c r="AT13" s="548">
        <f>'[8]Min_MX (rebase)'!$CD$46</f>
        <v>71.584324169176469</v>
      </c>
      <c r="AU13" s="548">
        <f>'[8]Min_MX (rebase)'!$CE$46</f>
        <v>71.66822984575596</v>
      </c>
      <c r="AV13" s="548">
        <f t="shared" si="13"/>
        <v>92.181947405827998</v>
      </c>
      <c r="AW13" s="548">
        <f t="shared" si="14"/>
        <v>101.2</v>
      </c>
      <c r="AX13" s="548"/>
      <c r="AY13" s="548">
        <f>'[8]Min_MX (rebase)'!$CH$46</f>
        <v>75.162096507042335</v>
      </c>
      <c r="AZ13" s="548">
        <f>'[8]Min_MX (rebase)'!$CK$46</f>
        <v>74.706614827218999</v>
      </c>
      <c r="BA13" s="548">
        <f>'[8]Min_MX (rebase)'!$CN46</f>
        <v>75.408670931058992</v>
      </c>
      <c r="BB13" s="548">
        <f>'[8]Min_MX (rebase)'!$CQ$46</f>
        <v>75.69296375266525</v>
      </c>
      <c r="BC13" s="548"/>
      <c r="BD13" s="548">
        <f>'[8]Min_MX (rebase)'!$CT$46</f>
        <v>74.626865671641795</v>
      </c>
      <c r="BE13" s="548">
        <f>'[8]Min_MX (rebase)'!$CW$46</f>
        <v>77.540867093105902</v>
      </c>
      <c r="BF13" s="548">
        <f>'[8]Min_MX (rebase)'!$CZ$46</f>
        <v>76.474769012082447</v>
      </c>
      <c r="BG13" s="548">
        <f>'[8]Min_MX (rebase)'!$DC$46</f>
        <v>76.261549395877765</v>
      </c>
      <c r="BH13" s="548"/>
      <c r="BI13" s="548">
        <f>'[8]Min_MX (rebase)'!$DF$46</f>
        <v>82.65813788201848</v>
      </c>
      <c r="BJ13" s="548">
        <f>'[8]Min_MX (rebase)'!$DI$46</f>
        <v>82.373845060412236</v>
      </c>
      <c r="BK13" s="548">
        <f>'[8]Min_MX (rebase)'!$DL$46</f>
        <v>84.648187633262268</v>
      </c>
      <c r="BL13" s="548">
        <f>'[8]Min_MX (rebase)'!$DO$46</f>
        <v>85.714285714285722</v>
      </c>
      <c r="BM13" s="548"/>
      <c r="BN13" s="548">
        <f>'[8]Min_MX (rebase)'!$DR$46</f>
        <v>88.415067519545147</v>
      </c>
      <c r="BO13" s="548">
        <f>'[8]Min_MX (rebase)'!$DU$46</f>
        <v>89.410092395167027</v>
      </c>
      <c r="BP13" s="548">
        <f>'[8]Min_MX (rebase)'!$DX$46</f>
        <v>89.836531627576406</v>
      </c>
      <c r="BQ13" s="548">
        <f>'[8]Min_MX (rebase)'!$EA$46</f>
        <v>90.049751243781103</v>
      </c>
      <c r="BR13" s="548"/>
      <c r="BS13" s="548">
        <f>'[8]Min_MX (rebase)'!$ED$46</f>
        <v>89.978678038379527</v>
      </c>
      <c r="BT13" s="548">
        <f>'[8]Min_MX (rebase)'!$EG$46</f>
        <v>90.120824449182663</v>
      </c>
      <c r="BU13" s="548">
        <f>'[8]Min_MX (rebase)'!$EJ$46</f>
        <v>91.82658137882018</v>
      </c>
      <c r="BV13" s="548">
        <f>'[8]Min_MX (rebase)'!$EM$46</f>
        <v>92.181947405827998</v>
      </c>
      <c r="BW13" s="548"/>
      <c r="BX13" s="548">
        <f>'[8]Min_MX (rebase)'!$EP$46</f>
        <v>95.238095238095241</v>
      </c>
      <c r="BY13" s="548">
        <f>'[8]Min_MX (rebase)'!$ES$46</f>
        <v>95.380241648898362</v>
      </c>
      <c r="BZ13" s="548">
        <f>'[8]Min_MX (rebase)'!$EV$46</f>
        <v>98.152096659559348</v>
      </c>
      <c r="CA13" s="550">
        <f>'[8]Min_MX (rebase)'!$EY$46</f>
        <v>101.2</v>
      </c>
    </row>
    <row r="14" spans="1:113" ht="12" customHeight="1" x14ac:dyDescent="0.2">
      <c r="A14" s="546" t="s">
        <v>144</v>
      </c>
      <c r="B14" s="547">
        <f t="shared" si="0"/>
        <v>82.559800069716076</v>
      </c>
      <c r="C14" s="547">
        <f t="shared" si="1"/>
        <v>91.868527527761017</v>
      </c>
      <c r="D14" s="547">
        <f t="shared" si="2"/>
        <v>91.854421756051153</v>
      </c>
      <c r="E14" s="547">
        <f t="shared" si="3"/>
        <v>102.14665680443693</v>
      </c>
      <c r="F14" s="547">
        <f t="shared" si="4"/>
        <v>100.14945830122318</v>
      </c>
      <c r="G14" s="547">
        <f t="shared" si="5"/>
        <v>102.31873786483033</v>
      </c>
      <c r="H14" s="547">
        <f t="shared" si="6"/>
        <v>71.96895477109841</v>
      </c>
      <c r="I14" s="547">
        <f t="shared" si="7"/>
        <v>78.591549295774641</v>
      </c>
      <c r="J14" s="547">
        <f t="shared" si="8"/>
        <v>82.183098591549296</v>
      </c>
      <c r="K14" s="547">
        <f t="shared" si="9"/>
        <v>81.126760563380287</v>
      </c>
      <c r="L14" s="547">
        <f t="shared" si="10"/>
        <v>88.732394366197184</v>
      </c>
      <c r="M14" s="547">
        <f t="shared" si="11"/>
        <v>94.507042253521121</v>
      </c>
      <c r="N14" s="547">
        <f t="shared" si="12"/>
        <v>107.3</v>
      </c>
      <c r="O14" s="548">
        <v>72.102248014809405</v>
      </c>
      <c r="P14" s="548">
        <v>78.400357832948785</v>
      </c>
      <c r="Q14" s="548">
        <v>82.559800069716076</v>
      </c>
      <c r="R14" s="549"/>
      <c r="S14" s="548">
        <v>81.496717470774243</v>
      </c>
      <c r="T14" s="548">
        <v>85.154112560812095</v>
      </c>
      <c r="U14" s="548">
        <v>87.542446515465116</v>
      </c>
      <c r="V14" s="548">
        <v>91.868527527761017</v>
      </c>
      <c r="W14" s="549"/>
      <c r="X14" s="548">
        <v>98.666968373900872</v>
      </c>
      <c r="Y14" s="548">
        <v>96.346565306002347</v>
      </c>
      <c r="Z14" s="548">
        <v>98.517759136453975</v>
      </c>
      <c r="AA14" s="548">
        <v>91.854421756051153</v>
      </c>
      <c r="AB14" s="547"/>
      <c r="AC14" s="548">
        <v>94.862892832625661</v>
      </c>
      <c r="AD14" s="548">
        <v>87.707433083716609</v>
      </c>
      <c r="AE14" s="548">
        <v>99.399755058717801</v>
      </c>
      <c r="AF14" s="548">
        <v>102.14665680443693</v>
      </c>
      <c r="AG14" s="547"/>
      <c r="AH14" s="548">
        <v>95.163920082665527</v>
      </c>
      <c r="AI14" s="548">
        <v>103.68429601726952</v>
      </c>
      <c r="AJ14" s="548">
        <v>103.7161112977753</v>
      </c>
      <c r="AK14" s="548">
        <v>100.14945830122318</v>
      </c>
      <c r="AL14" s="547"/>
      <c r="AM14" s="548">
        <v>100.9269357223654</v>
      </c>
      <c r="AN14" s="548">
        <v>102.16483653038146</v>
      </c>
      <c r="AO14" s="548">
        <v>96.997358594037792</v>
      </c>
      <c r="AP14" s="548">
        <v>102.31873786483033</v>
      </c>
      <c r="AQ14" s="548"/>
      <c r="AR14" s="548">
        <v>105.70024703755408</v>
      </c>
      <c r="AS14" s="548">
        <v>104.84301779944185</v>
      </c>
      <c r="AT14" s="548">
        <f>'[8]Min_MX (rebase)'!$CD$47</f>
        <v>71.775900659893694</v>
      </c>
      <c r="AU14" s="548">
        <f>'[8]Min_MX (rebase)'!$CE$47</f>
        <v>71.96895477109841</v>
      </c>
      <c r="AV14" s="548">
        <f t="shared" si="13"/>
        <v>94.507042253521121</v>
      </c>
      <c r="AW14" s="548">
        <f t="shared" si="14"/>
        <v>107.3</v>
      </c>
      <c r="AX14" s="548"/>
      <c r="AY14" s="548">
        <f>'[8]Min_MX (rebase)'!$CH$47</f>
        <v>74.767807790309362</v>
      </c>
      <c r="AZ14" s="548">
        <f>'[8]Min_MX (rebase)'!$CK$47</f>
        <v>75.483055365050873</v>
      </c>
      <c r="BA14" s="548">
        <f>'[8]Min_MX (rebase)'!$CN47</f>
        <v>76.197183098591552</v>
      </c>
      <c r="BB14" s="548">
        <f>'[8]Min_MX (rebase)'!$CQ$47</f>
        <v>78.591549295774641</v>
      </c>
      <c r="BC14" s="548"/>
      <c r="BD14" s="548">
        <f>'[8]Min_MX (rebase)'!$CT$47</f>
        <v>80.91549295774648</v>
      </c>
      <c r="BE14" s="548">
        <f>'[8]Min_MX (rebase)'!$CW$47</f>
        <v>81.197183098591552</v>
      </c>
      <c r="BF14" s="548">
        <f>'[8]Min_MX (rebase)'!$CZ$47</f>
        <v>81.267605633802816</v>
      </c>
      <c r="BG14" s="548">
        <f>'[8]Min_MX (rebase)'!$DC$47</f>
        <v>82.183098591549296</v>
      </c>
      <c r="BH14" s="548"/>
      <c r="BI14" s="548">
        <f>'[8]Min_MX (rebase)'!$DF$47</f>
        <v>86.408450704225359</v>
      </c>
      <c r="BJ14" s="548">
        <f>'[8]Min_MX (rebase)'!$DI$47</f>
        <v>85.633802816901408</v>
      </c>
      <c r="BK14" s="548">
        <f>'[8]Min_MX (rebase)'!$DL$47</f>
        <v>83.309859154929583</v>
      </c>
      <c r="BL14" s="548">
        <f>'[8]Min_MX (rebase)'!$DO$47</f>
        <v>81.126760563380287</v>
      </c>
      <c r="BM14" s="548"/>
      <c r="BN14" s="548">
        <f>'[8]Min_MX (rebase)'!$DR$47</f>
        <v>83.028169014084511</v>
      </c>
      <c r="BO14" s="548">
        <f>'[8]Min_MX (rebase)'!$DU$47</f>
        <v>85.774647887323937</v>
      </c>
      <c r="BP14" s="548">
        <f>'[8]Min_MX (rebase)'!$DX$47</f>
        <v>88.661971830985919</v>
      </c>
      <c r="BQ14" s="548">
        <f>'[8]Min_MX (rebase)'!$EA$47</f>
        <v>88.732394366197184</v>
      </c>
      <c r="BR14" s="548"/>
      <c r="BS14" s="548">
        <f>'[8]Min_MX (rebase)'!$ED$47</f>
        <v>89.08450704225352</v>
      </c>
      <c r="BT14" s="548">
        <f>'[8]Min_MX (rebase)'!$EG$47</f>
        <v>90.070422535211264</v>
      </c>
      <c r="BU14" s="548">
        <f>'[8]Min_MX (rebase)'!$EJ$47</f>
        <v>92.535211267605632</v>
      </c>
      <c r="BV14" s="548">
        <f>'[8]Min_MX (rebase)'!$EM$47</f>
        <v>94.507042253521121</v>
      </c>
      <c r="BW14" s="548"/>
      <c r="BX14" s="548">
        <f>'[8]Min_MX (rebase)'!$EP$47</f>
        <v>96.901408450704224</v>
      </c>
      <c r="BY14" s="548">
        <f>'[8]Min_MX (rebase)'!$ES$47</f>
        <v>100.70422535211267</v>
      </c>
      <c r="BZ14" s="548">
        <f>'[8]Min_MX (rebase)'!$EV$47</f>
        <v>98.098591549295776</v>
      </c>
      <c r="CA14" s="550">
        <f>'[8]Min_MX (rebase)'!$EY$47</f>
        <v>107.3</v>
      </c>
    </row>
    <row r="15" spans="1:113" ht="12" customHeight="1" x14ac:dyDescent="0.2">
      <c r="A15" s="551" t="s">
        <v>145</v>
      </c>
      <c r="B15" s="547">
        <f t="shared" si="0"/>
        <v>90.932738715211443</v>
      </c>
      <c r="C15" s="547">
        <f t="shared" si="1"/>
        <v>94.163993828789259</v>
      </c>
      <c r="D15" s="547">
        <f t="shared" si="2"/>
        <v>97.669560408168351</v>
      </c>
      <c r="E15" s="547">
        <f t="shared" si="3"/>
        <v>99.241272000918016</v>
      </c>
      <c r="F15" s="547">
        <f t="shared" si="4"/>
        <v>94.734448279533368</v>
      </c>
      <c r="G15" s="547">
        <f t="shared" si="5"/>
        <v>100.05907133824157</v>
      </c>
      <c r="H15" s="547">
        <f t="shared" si="6"/>
        <v>66.183452589731587</v>
      </c>
      <c r="I15" s="547">
        <f t="shared" si="7"/>
        <v>64.797913950456319</v>
      </c>
      <c r="J15" s="547">
        <f t="shared" si="8"/>
        <v>65.710560625814864</v>
      </c>
      <c r="K15" s="547">
        <f t="shared" si="9"/>
        <v>74.706649282920466</v>
      </c>
      <c r="L15" s="547">
        <f t="shared" si="10"/>
        <v>78.617992177314193</v>
      </c>
      <c r="M15" s="547">
        <f t="shared" si="11"/>
        <v>90.026075619295952</v>
      </c>
      <c r="N15" s="547">
        <f t="shared" si="12"/>
        <v>100.8</v>
      </c>
      <c r="O15" s="548">
        <v>85.731168402994513</v>
      </c>
      <c r="P15" s="548">
        <v>89.785045363406454</v>
      </c>
      <c r="Q15" s="548">
        <v>90.932738715211443</v>
      </c>
      <c r="R15" s="549"/>
      <c r="S15" s="548">
        <v>91.566652790092292</v>
      </c>
      <c r="T15" s="548">
        <v>90.702941053833058</v>
      </c>
      <c r="U15" s="548">
        <v>92.920430833170641</v>
      </c>
      <c r="V15" s="548">
        <v>94.163993828789259</v>
      </c>
      <c r="W15" s="549"/>
      <c r="X15" s="548">
        <v>93.304206183313894</v>
      </c>
      <c r="Y15" s="548">
        <v>94.082709284121577</v>
      </c>
      <c r="Z15" s="548">
        <v>95.651764194961928</v>
      </c>
      <c r="AA15" s="548">
        <v>97.669560408168351</v>
      </c>
      <c r="AB15" s="547"/>
      <c r="AC15" s="548">
        <v>98.730290249714585</v>
      </c>
      <c r="AD15" s="548">
        <v>97.932099975516408</v>
      </c>
      <c r="AE15" s="548">
        <v>98.73540461462774</v>
      </c>
      <c r="AF15" s="548">
        <v>99.241272000918016</v>
      </c>
      <c r="AG15" s="547"/>
      <c r="AH15" s="548">
        <v>98.248005839130172</v>
      </c>
      <c r="AI15" s="548">
        <v>95.488613554828433</v>
      </c>
      <c r="AJ15" s="548">
        <v>93.176985920638884</v>
      </c>
      <c r="AK15" s="548">
        <v>94.734448279533368</v>
      </c>
      <c r="AL15" s="547"/>
      <c r="AM15" s="548">
        <v>95.913445717864519</v>
      </c>
      <c r="AN15" s="548">
        <v>97.03072469658116</v>
      </c>
      <c r="AO15" s="548">
        <v>99.116019324716646</v>
      </c>
      <c r="AP15" s="548">
        <v>100.05907133824157</v>
      </c>
      <c r="AQ15" s="548"/>
      <c r="AR15" s="548">
        <v>100.55782373900118</v>
      </c>
      <c r="AS15" s="548">
        <v>101.03828122149147</v>
      </c>
      <c r="AT15" s="548">
        <f>'[8]Min_MX (rebase)'!$CD$87</f>
        <v>66.392820112561083</v>
      </c>
      <c r="AU15" s="548">
        <f>'[8]Min_MX (rebase)'!$CE$87</f>
        <v>66.183452589731587</v>
      </c>
      <c r="AV15" s="548">
        <f t="shared" si="13"/>
        <v>90.026075619295952</v>
      </c>
      <c r="AW15" s="548">
        <f t="shared" si="14"/>
        <v>100.8</v>
      </c>
      <c r="AX15" s="548"/>
      <c r="AY15" s="548">
        <f>'[8]Min_MX (rebase)'!$CH$87</f>
        <v>66.976188155212697</v>
      </c>
      <c r="AZ15" s="548">
        <f>'[8]Min_MX (rebase)'!$CK$87</f>
        <v>67.021441486264578</v>
      </c>
      <c r="BA15" s="548">
        <f>'[8]Min_MX (rebase)'!$CN87</f>
        <v>66.492829204693606</v>
      </c>
      <c r="BB15" s="548">
        <f>'[8]Min_MX (rebase)'!$CQ$87</f>
        <v>64.797913950456319</v>
      </c>
      <c r="BC15" s="548"/>
      <c r="BD15" s="548">
        <f>'[8]Min_MX (rebase)'!$CT$87</f>
        <v>65.840938722294652</v>
      </c>
      <c r="BE15" s="548">
        <f>'[8]Min_MX (rebase)'!$CW$87</f>
        <v>66.558018252933508</v>
      </c>
      <c r="BF15" s="548">
        <f>'[8]Min_MX (rebase)'!$CZ$87</f>
        <v>67.470664928292052</v>
      </c>
      <c r="BG15" s="548">
        <f>'[8]Min_MX (rebase)'!$DC$87</f>
        <v>65.710560625814864</v>
      </c>
      <c r="BH15" s="548"/>
      <c r="BI15" s="548">
        <f>'[8]Min_MX (rebase)'!$DF$87</f>
        <v>66.949152542372886</v>
      </c>
      <c r="BJ15" s="548">
        <f>'[8]Min_MX (rebase)'!$DI$87</f>
        <v>69.100391134289438</v>
      </c>
      <c r="BK15" s="548">
        <f>'[8]Min_MX (rebase)'!$DL$87</f>
        <v>71.382007822685793</v>
      </c>
      <c r="BL15" s="548">
        <f>'[8]Min_MX (rebase)'!$DO$87</f>
        <v>74.706649282920466</v>
      </c>
      <c r="BM15" s="548"/>
      <c r="BN15" s="548">
        <f>'[8]Min_MX (rebase)'!$DR$87</f>
        <v>76.010430247718375</v>
      </c>
      <c r="BO15" s="548">
        <f>'[8]Min_MX (rebase)'!$DU$87</f>
        <v>77.053455019556722</v>
      </c>
      <c r="BP15" s="548">
        <f>'[8]Min_MX (rebase)'!$DX$87</f>
        <v>76.727509778357245</v>
      </c>
      <c r="BQ15" s="548">
        <f>'[8]Min_MX (rebase)'!$EA$87</f>
        <v>78.617992177314193</v>
      </c>
      <c r="BR15" s="548"/>
      <c r="BS15" s="548">
        <f>'[8]Min_MX (rebase)'!$ED$87</f>
        <v>80.638852672750971</v>
      </c>
      <c r="BT15" s="548">
        <f>'[8]Min_MX (rebase)'!$EG$87</f>
        <v>83.181225554106902</v>
      </c>
      <c r="BU15" s="548">
        <f>'[8]Min_MX (rebase)'!$EJ$87</f>
        <v>87.940026075619286</v>
      </c>
      <c r="BV15" s="548">
        <f>'[8]Min_MX (rebase)'!$EM$87</f>
        <v>90.026075619295952</v>
      </c>
      <c r="BW15" s="548"/>
      <c r="BX15" s="548">
        <f>'[8]Min_MX (rebase)'!$EP$87</f>
        <v>90.286831812255542</v>
      </c>
      <c r="BY15" s="548">
        <f>'[8]Min_MX (rebase)'!$ES$87</f>
        <v>91.329856584093861</v>
      </c>
      <c r="BZ15" s="548">
        <f>'[8]Min_MX (rebase)'!$EV$87</f>
        <v>97.131681877444592</v>
      </c>
      <c r="CA15" s="550">
        <f>'[8]Min_MX (rebase)'!$EY$87</f>
        <v>100.8</v>
      </c>
    </row>
    <row r="16" spans="1:113" s="177" customFormat="1" ht="13.2" x14ac:dyDescent="0.2">
      <c r="A16" s="553"/>
      <c r="B16" s="554"/>
      <c r="C16" s="554"/>
      <c r="D16" s="555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6"/>
      <c r="X16" s="556"/>
      <c r="Y16" s="556"/>
      <c r="Z16" s="556"/>
      <c r="AA16" s="556"/>
      <c r="AB16" s="556"/>
      <c r="AC16" s="556"/>
      <c r="AD16" s="556"/>
      <c r="AE16" s="556"/>
      <c r="AF16" s="556"/>
      <c r="AG16" s="556"/>
      <c r="AH16" s="556"/>
      <c r="AI16" s="556"/>
      <c r="AJ16" s="556"/>
      <c r="AK16" s="556"/>
      <c r="AL16" s="556"/>
      <c r="AM16" s="556"/>
      <c r="AN16" s="556"/>
      <c r="AO16" s="556"/>
      <c r="AP16" s="556"/>
      <c r="AQ16" s="556"/>
      <c r="AR16" s="556"/>
      <c r="AS16" s="556"/>
      <c r="AT16" s="556"/>
      <c r="AU16" s="556"/>
      <c r="AV16" s="556"/>
      <c r="AW16" s="548"/>
      <c r="AX16" s="557"/>
      <c r="AY16" s="557"/>
      <c r="AZ16" s="557"/>
      <c r="BA16" s="557"/>
      <c r="BB16" s="557"/>
      <c r="BC16" s="557"/>
      <c r="BD16" s="557"/>
      <c r="BE16" s="557"/>
      <c r="BF16" s="557"/>
      <c r="BG16" s="557"/>
      <c r="BH16" s="557"/>
      <c r="BI16" s="837" t="s">
        <v>125</v>
      </c>
      <c r="BJ16" s="837"/>
      <c r="BK16" s="837"/>
      <c r="BL16" s="837"/>
      <c r="BM16" s="837"/>
      <c r="BN16" s="837"/>
      <c r="BO16" s="837"/>
      <c r="BP16" s="837"/>
      <c r="BQ16" s="837"/>
      <c r="BR16" s="837"/>
      <c r="BS16" s="837"/>
      <c r="BT16" s="837"/>
      <c r="BU16" s="558"/>
      <c r="BV16" s="558"/>
      <c r="BW16" s="558"/>
      <c r="BX16" s="558"/>
      <c r="BY16" s="558"/>
      <c r="BZ16" s="558"/>
      <c r="CA16" s="559"/>
      <c r="CB16" s="463"/>
      <c r="CC16" s="463"/>
      <c r="CD16" s="463"/>
      <c r="CE16" s="463"/>
      <c r="CF16" s="463"/>
      <c r="CG16" s="463"/>
      <c r="CH16" s="463"/>
      <c r="CI16" s="463"/>
      <c r="CJ16" s="463"/>
      <c r="CK16" s="463"/>
      <c r="CL16" s="463"/>
      <c r="CM16" s="463"/>
      <c r="CN16" s="463"/>
      <c r="CO16" s="463"/>
      <c r="CP16" s="463"/>
      <c r="CQ16" s="463"/>
      <c r="CR16" s="463"/>
      <c r="CS16" s="463"/>
      <c r="CT16" s="463"/>
      <c r="CU16" s="463"/>
      <c r="CV16" s="463"/>
      <c r="CW16" s="463"/>
      <c r="CX16" s="463"/>
      <c r="CY16" s="463"/>
      <c r="CZ16" s="463"/>
      <c r="DA16" s="463"/>
      <c r="DB16" s="463"/>
      <c r="DC16" s="463"/>
      <c r="DD16" s="463"/>
      <c r="DE16" s="463"/>
      <c r="DF16" s="463"/>
      <c r="DG16" s="463"/>
      <c r="DH16" s="463"/>
      <c r="DI16" s="464"/>
    </row>
    <row r="17" spans="1:113" ht="12" customHeight="1" x14ac:dyDescent="0.2">
      <c r="A17" s="546" t="s">
        <v>94</v>
      </c>
      <c r="B17" s="547"/>
      <c r="C17" s="547">
        <f t="shared" ref="C17:C26" si="15">V17</f>
        <v>7.3360163092174968</v>
      </c>
      <c r="D17" s="547">
        <f t="shared" ref="D17:D26" si="16">AA17</f>
        <v>1.8244313319581096</v>
      </c>
      <c r="E17" s="547">
        <f t="shared" ref="E17:E26" si="17">AF17</f>
        <v>6.3942596595772061</v>
      </c>
      <c r="F17" s="547">
        <f t="shared" ref="F17:F26" si="18">AK17</f>
        <v>-3.1933987990069523</v>
      </c>
      <c r="G17" s="547">
        <f t="shared" ref="G17:G26" si="19">AP17</f>
        <v>3.6674582063114247</v>
      </c>
      <c r="H17" s="547">
        <f t="shared" ref="H17:H26" si="20">AU17</f>
        <v>-32.030799063377856</v>
      </c>
      <c r="I17" s="547">
        <f t="shared" ref="I17:I26" si="21">BB17</f>
        <v>3.0122266797813824</v>
      </c>
      <c r="J17" s="547">
        <f>BG17</f>
        <v>3.0505243088655876</v>
      </c>
      <c r="K17" s="547">
        <f>BL17</f>
        <v>6.2904717853838887</v>
      </c>
      <c r="L17" s="547">
        <f>BQ17</f>
        <v>7.1366405570060909</v>
      </c>
      <c r="M17" s="547">
        <f>BV17</f>
        <v>10.722989439480113</v>
      </c>
      <c r="N17" s="547">
        <f>CA17</f>
        <v>11.992663242846646</v>
      </c>
      <c r="O17" s="560"/>
      <c r="P17" s="560"/>
      <c r="Q17" s="560"/>
      <c r="R17" s="560"/>
      <c r="S17" s="560"/>
      <c r="T17" s="561">
        <f t="shared" ref="T17:T26" si="22">(T6/O6-1)*100</f>
        <v>11.590854803723261</v>
      </c>
      <c r="U17" s="562">
        <f t="shared" ref="U17:U26" si="23">(U6/P6-1)*100</f>
        <v>7.4140728663301791</v>
      </c>
      <c r="V17" s="562">
        <f t="shared" ref="V17:V26" si="24">(V6/Q6-1)*100</f>
        <v>7.3360163092174968</v>
      </c>
      <c r="W17" s="560"/>
      <c r="X17" s="547">
        <f t="shared" ref="X17:X26" si="25">(X6/S6-1)*100</f>
        <v>11.193416788078814</v>
      </c>
      <c r="Y17" s="547">
        <f t="shared" ref="Y17:Y26" si="26">(Y6/T6-1)*100</f>
        <v>8.4182959886186062</v>
      </c>
      <c r="Z17" s="547">
        <f t="shared" ref="Z17:Z26" si="27">(Z6/U6-1)*100</f>
        <v>7.7296972490932481</v>
      </c>
      <c r="AA17" s="547">
        <f t="shared" ref="AA17:AA26" si="28">(AA6/V6-1)*100</f>
        <v>1.8244313319581096</v>
      </c>
      <c r="AB17" s="547"/>
      <c r="AC17" s="547">
        <f t="shared" ref="AC17:AC26" si="29">(AC6/X6-1)*100</f>
        <v>0.70967591644632844</v>
      </c>
      <c r="AD17" s="547">
        <f t="shared" ref="AD17:AD26" si="30">(AD6/Y6-1)*100</f>
        <v>-2.6980504259518034</v>
      </c>
      <c r="AE17" s="547">
        <f t="shared" ref="AE17:AE26" si="31">(AE6/Z6-1)*100</f>
        <v>2.0097628660832312</v>
      </c>
      <c r="AF17" s="547">
        <f t="shared" ref="AF17:AF26" si="32">(AF6/AA6-1)*100</f>
        <v>6.3942596595772061</v>
      </c>
      <c r="AG17" s="547"/>
      <c r="AH17" s="547">
        <f t="shared" ref="AH17:AH26" si="33">(AH6/AC6-1)*100</f>
        <v>-8.2339188331881363E-2</v>
      </c>
      <c r="AI17" s="547">
        <f t="shared" ref="AI17:AI26" si="34">(AI6/AD6-1)*100</f>
        <v>7.5798003228311428</v>
      </c>
      <c r="AJ17" s="547">
        <f t="shared" ref="AJ17:AJ26" si="35">(AJ6/AE6-1)*100</f>
        <v>-0.48721521947800994</v>
      </c>
      <c r="AK17" s="547">
        <f t="shared" ref="AK17:AK26" si="36">(AK6/AF6-1)*100</f>
        <v>-3.1933987990069523</v>
      </c>
      <c r="AL17" s="547"/>
      <c r="AM17" s="547">
        <f t="shared" ref="AM17:AM26" si="37">(AM6/AH6-1)*100</f>
        <v>1.8907472065528008</v>
      </c>
      <c r="AN17" s="547">
        <f t="shared" ref="AN17:AN26" si="38">(AN6/AI6-1)*100</f>
        <v>-3.165140418479595E-2</v>
      </c>
      <c r="AO17" s="547">
        <f t="shared" ref="AO17:AO26" si="39">(AO6/AJ6-1)*100</f>
        <v>-0.57524109802241652</v>
      </c>
      <c r="AP17" s="552">
        <f t="shared" ref="AP17:AP26" si="40">(AP6/AK6-1)*100</f>
        <v>3.6674582063114247</v>
      </c>
      <c r="AQ17" s="552"/>
      <c r="AR17" s="552">
        <f t="shared" ref="AR17:AR26" si="41">(AR6/AM6-1)*100</f>
        <v>4.490949164939928</v>
      </c>
      <c r="AS17" s="552">
        <f t="shared" ref="AS17:AS26" si="42">(AS6/AN6-1)*100</f>
        <v>3.1218498751941715</v>
      </c>
      <c r="AT17" s="552">
        <f t="shared" ref="AT17:AT26" si="43">(AT6/AO6-1)*100</f>
        <v>-29.870723193847649</v>
      </c>
      <c r="AU17" s="552">
        <f t="shared" ref="AU17:AU26" si="44">(AU6/AP6-1)*100</f>
        <v>-32.030799063377856</v>
      </c>
      <c r="AV17" s="552">
        <f>BV17</f>
        <v>10.722989439480113</v>
      </c>
      <c r="AW17" s="548">
        <f t="shared" si="14"/>
        <v>11.992663242846646</v>
      </c>
      <c r="AX17" s="552"/>
      <c r="AY17" s="552">
        <f t="shared" ref="AY17:AY26" si="45">(AY6/AR6-1)*100</f>
        <v>-31.606580373103156</v>
      </c>
      <c r="AZ17" s="552">
        <f t="shared" ref="AZ17:AZ26" si="46">(AZ6/AS6-1)*100</f>
        <v>-31.188371480824362</v>
      </c>
      <c r="BA17" s="552">
        <f t="shared" ref="BA17:BA26" si="47">(BA6/AT6-1)*100</f>
        <v>2.9632288074727731</v>
      </c>
      <c r="BB17" s="552">
        <f t="shared" ref="BB17:BB26" si="48">(BB6/AU6-1)*100</f>
        <v>3.0122266797813824</v>
      </c>
      <c r="BC17" s="552"/>
      <c r="BD17" s="552">
        <f t="shared" ref="BD17:BD26" si="49">(BD6/AY6-1)*100</f>
        <v>2.9601399528398797</v>
      </c>
      <c r="BE17" s="552">
        <f t="shared" ref="BE17:BE26" si="50">(BE6/AZ6-1)*100</f>
        <v>3.2294006700058997</v>
      </c>
      <c r="BF17" s="552">
        <f t="shared" ref="BF17:BF26" si="51">(BF6/BA6-1)*100</f>
        <v>3.908484270734025</v>
      </c>
      <c r="BG17" s="552">
        <f t="shared" ref="BG17:BG26" si="52">(BG6/BB6-1)*100</f>
        <v>3.0505243088655876</v>
      </c>
      <c r="BH17" s="552"/>
      <c r="BI17" s="552">
        <f t="shared" ref="BI17:BI26" si="53">(BI6/BD6-1)*100</f>
        <v>4.1899441340782273</v>
      </c>
      <c r="BJ17" s="552">
        <f t="shared" ref="BJ17:BJ26" si="54">(BJ6/BE6-1)*100</f>
        <v>4.4362292051756125</v>
      </c>
      <c r="BK17" s="552">
        <f t="shared" ref="BK17:BK26" si="55">(BK6/BF6-1)*100</f>
        <v>4.1284403669724634</v>
      </c>
      <c r="BL17" s="552">
        <f t="shared" ref="BL17:BL26" si="56">(BL6/BG6-1)*100</f>
        <v>6.2904717853838887</v>
      </c>
      <c r="BM17" s="552"/>
      <c r="BN17" s="552">
        <f t="shared" ref="BN17:BN26" si="57">(BN6/BI6-1)*100</f>
        <v>4.7363717605004352</v>
      </c>
      <c r="BO17" s="552">
        <f t="shared" ref="BO17:BO26" si="58">(BO6/BJ6-1)*100</f>
        <v>6.0176991150442394</v>
      </c>
      <c r="BP17" s="552">
        <f t="shared" ref="BP17:BP26" si="59">(BP6/BK6-1)*100</f>
        <v>7.0484581497797461</v>
      </c>
      <c r="BQ17" s="552">
        <f t="shared" ref="BQ17:BQ26" si="60">(BQ6/BL6-1)*100</f>
        <v>7.1366405570060909</v>
      </c>
      <c r="BR17" s="552"/>
      <c r="BS17" s="552">
        <f t="shared" ref="BS17:BS26" si="61">(BS6/BN6-1)*100</f>
        <v>6.6552901023890776</v>
      </c>
      <c r="BT17" s="552">
        <f t="shared" ref="BT17:BT26" si="62">(BT6/BO6-1)*100</f>
        <v>6.5943238731218878</v>
      </c>
      <c r="BU17" s="552">
        <f t="shared" ref="BU17:BU26" si="63">(BU6/BP6-1)*100</f>
        <v>9.7119341563785877</v>
      </c>
      <c r="BV17" s="552">
        <f t="shared" ref="BV17:BV26" si="64">(BV6/BQ6-1)*100</f>
        <v>10.722989439480113</v>
      </c>
      <c r="BW17" s="552"/>
      <c r="BX17" s="552">
        <f t="shared" ref="BX17:BX26" si="65">(BX6/BS6-1)*100</f>
        <v>10.48</v>
      </c>
      <c r="BY17" s="552">
        <f t="shared" ref="BY17:BY26" si="66">(BY6/BT6-1)*100</f>
        <v>10.728269381362576</v>
      </c>
      <c r="BZ17" s="552">
        <f t="shared" ref="BZ17:BZ26" si="67">(BZ6/BU6-1)*100</f>
        <v>8.4771192798199344</v>
      </c>
      <c r="CA17" s="563">
        <f t="shared" ref="CA17:CA26" si="68">(CA6/BV6-1)*100</f>
        <v>11.992663242846646</v>
      </c>
    </row>
    <row r="18" spans="1:113" ht="12" customHeight="1" x14ac:dyDescent="0.2">
      <c r="A18" s="551" t="s">
        <v>126</v>
      </c>
      <c r="B18" s="547"/>
      <c r="C18" s="547">
        <f t="shared" si="15"/>
        <v>8.5487603959158101</v>
      </c>
      <c r="D18" s="547">
        <f t="shared" si="16"/>
        <v>3.8243441549679069E-2</v>
      </c>
      <c r="E18" s="547">
        <f t="shared" si="17"/>
        <v>4.1847913100951706</v>
      </c>
      <c r="F18" s="547">
        <f t="shared" si="18"/>
        <v>-5.2136871484325109</v>
      </c>
      <c r="G18" s="547">
        <f t="shared" si="19"/>
        <v>7.6017638836711532</v>
      </c>
      <c r="H18" s="547">
        <f t="shared" si="20"/>
        <v>-36.194208251841907</v>
      </c>
      <c r="I18" s="547">
        <f t="shared" si="21"/>
        <v>4.2341966346861826</v>
      </c>
      <c r="J18" s="547">
        <f t="shared" ref="J18:J26" si="69">BG18</f>
        <v>6.1316501352569608</v>
      </c>
      <c r="K18" s="547">
        <f t="shared" ref="K18:K26" si="70">BL18</f>
        <v>2.1240441801189558</v>
      </c>
      <c r="L18" s="547">
        <f t="shared" ref="L18:L26" si="71">BQ18</f>
        <v>3.3277870216306127</v>
      </c>
      <c r="M18" s="547">
        <f t="shared" ref="M18:M26" si="72">BV18</f>
        <v>19.565217391304344</v>
      </c>
      <c r="N18" s="547">
        <f t="shared" ref="N18:N26" si="73">CA18</f>
        <v>17.190370370370367</v>
      </c>
      <c r="O18" s="560"/>
      <c r="P18" s="560"/>
      <c r="Q18" s="560"/>
      <c r="R18" s="560"/>
      <c r="S18" s="560"/>
      <c r="T18" s="561">
        <f t="shared" si="22"/>
        <v>5.0667625171765263</v>
      </c>
      <c r="U18" s="562">
        <f t="shared" si="23"/>
        <v>5.4845878609889542</v>
      </c>
      <c r="V18" s="562">
        <f t="shared" si="24"/>
        <v>8.5487603959158101</v>
      </c>
      <c r="W18" s="560"/>
      <c r="X18" s="547">
        <f t="shared" si="25"/>
        <v>16.368915478766155</v>
      </c>
      <c r="Y18" s="547">
        <f t="shared" si="26"/>
        <v>13.4590516639713</v>
      </c>
      <c r="Z18" s="547">
        <f t="shared" si="27"/>
        <v>13.178984869295185</v>
      </c>
      <c r="AA18" s="547">
        <f t="shared" si="28"/>
        <v>3.8243441549679069E-2</v>
      </c>
      <c r="AB18" s="547"/>
      <c r="AC18" s="547">
        <f t="shared" si="29"/>
        <v>-3.3499250326657015</v>
      </c>
      <c r="AD18" s="547">
        <f t="shared" si="30"/>
        <v>-9.3763983284607892</v>
      </c>
      <c r="AE18" s="547">
        <f t="shared" si="31"/>
        <v>-4.3931491166929177</v>
      </c>
      <c r="AF18" s="547">
        <f t="shared" si="32"/>
        <v>4.1847913100951706</v>
      </c>
      <c r="AG18" s="547"/>
      <c r="AH18" s="547">
        <f t="shared" si="33"/>
        <v>-6.6527565747783406</v>
      </c>
      <c r="AI18" s="547">
        <f t="shared" si="34"/>
        <v>10.686265184394394</v>
      </c>
      <c r="AJ18" s="547">
        <f t="shared" si="35"/>
        <v>-0.82443474064290978</v>
      </c>
      <c r="AK18" s="547">
        <f t="shared" si="36"/>
        <v>-5.2136871484325109</v>
      </c>
      <c r="AL18" s="547"/>
      <c r="AM18" s="547">
        <f t="shared" si="37"/>
        <v>6.1465293870831328</v>
      </c>
      <c r="AN18" s="547">
        <f t="shared" si="38"/>
        <v>0.13731085107002716</v>
      </c>
      <c r="AO18" s="547">
        <f t="shared" si="39"/>
        <v>-1.5011537086038529</v>
      </c>
      <c r="AP18" s="552">
        <f t="shared" si="40"/>
        <v>7.6017638836711532</v>
      </c>
      <c r="AQ18" s="552"/>
      <c r="AR18" s="552">
        <f t="shared" si="41"/>
        <v>9.6178325747881885</v>
      </c>
      <c r="AS18" s="552">
        <f t="shared" si="42"/>
        <v>5.8144919949444374</v>
      </c>
      <c r="AT18" s="552">
        <f t="shared" si="43"/>
        <v>-31.861627277991435</v>
      </c>
      <c r="AU18" s="552">
        <f t="shared" si="44"/>
        <v>-36.194208251841907</v>
      </c>
      <c r="AV18" s="552">
        <f t="shared" ref="AV18:AV26" si="74">BV18</f>
        <v>19.565217391304344</v>
      </c>
      <c r="AW18" s="548">
        <f t="shared" si="14"/>
        <v>17.190370370370367</v>
      </c>
      <c r="AX18" s="552"/>
      <c r="AY18" s="552">
        <f t="shared" si="45"/>
        <v>-37.533168393376961</v>
      </c>
      <c r="AZ18" s="552">
        <f t="shared" si="46"/>
        <v>-36.58958310508239</v>
      </c>
      <c r="BA18" s="552">
        <f t="shared" si="47"/>
        <v>3.1662535851987972</v>
      </c>
      <c r="BB18" s="552">
        <f t="shared" si="48"/>
        <v>4.2341966346861826</v>
      </c>
      <c r="BC18" s="552"/>
      <c r="BD18" s="552">
        <f t="shared" si="49"/>
        <v>6.2593845269815374</v>
      </c>
      <c r="BE18" s="552">
        <f t="shared" si="50"/>
        <v>4.761877923390645</v>
      </c>
      <c r="BF18" s="552">
        <f t="shared" si="51"/>
        <v>9.1074681238615831</v>
      </c>
      <c r="BG18" s="552">
        <f t="shared" si="52"/>
        <v>6.1316501352569608</v>
      </c>
      <c r="BH18" s="552"/>
      <c r="BI18" s="552">
        <f t="shared" si="53"/>
        <v>6.4236111111110938</v>
      </c>
      <c r="BJ18" s="552">
        <f t="shared" si="54"/>
        <v>7.8671328671328755</v>
      </c>
      <c r="BK18" s="552">
        <f t="shared" si="55"/>
        <v>1.4190317195325486</v>
      </c>
      <c r="BL18" s="552">
        <f t="shared" si="56"/>
        <v>2.1240441801189558</v>
      </c>
      <c r="BM18" s="552"/>
      <c r="BN18" s="552">
        <f t="shared" si="57"/>
        <v>-1.8760195758564246</v>
      </c>
      <c r="BO18" s="552">
        <f t="shared" si="58"/>
        <v>-0.40518638573743271</v>
      </c>
      <c r="BP18" s="552">
        <f t="shared" si="59"/>
        <v>1.4814814814814836</v>
      </c>
      <c r="BQ18" s="552">
        <f t="shared" si="60"/>
        <v>3.3277870216306127</v>
      </c>
      <c r="BR18" s="552"/>
      <c r="BS18" s="552">
        <f t="shared" si="61"/>
        <v>6.8994181213632322</v>
      </c>
      <c r="BT18" s="552">
        <f t="shared" si="62"/>
        <v>8.3807973962571225</v>
      </c>
      <c r="BU18" s="552">
        <f t="shared" si="63"/>
        <v>15.490673154906753</v>
      </c>
      <c r="BV18" s="552">
        <f t="shared" si="64"/>
        <v>19.565217391304344</v>
      </c>
      <c r="BW18" s="552"/>
      <c r="BX18" s="552">
        <f t="shared" si="65"/>
        <v>19.206842923794731</v>
      </c>
      <c r="BY18" s="552">
        <f t="shared" si="66"/>
        <v>18.843843843843857</v>
      </c>
      <c r="BZ18" s="552">
        <f t="shared" si="67"/>
        <v>12.219101123595477</v>
      </c>
      <c r="CA18" s="563">
        <f t="shared" si="68"/>
        <v>17.190370370370367</v>
      </c>
    </row>
    <row r="19" spans="1:113" ht="12" customHeight="1" x14ac:dyDescent="0.2">
      <c r="A19" s="551" t="s">
        <v>127</v>
      </c>
      <c r="B19" s="547"/>
      <c r="C19" s="547">
        <f t="shared" si="15"/>
        <v>7.9072210026948087</v>
      </c>
      <c r="D19" s="547">
        <f t="shared" si="16"/>
        <v>12.648410201213679</v>
      </c>
      <c r="E19" s="547">
        <f t="shared" si="17"/>
        <v>9.604066022409441</v>
      </c>
      <c r="F19" s="547">
        <f t="shared" si="18"/>
        <v>-5.8381704764663418</v>
      </c>
      <c r="G19" s="547">
        <f t="shared" si="19"/>
        <v>0.56568217971222357</v>
      </c>
      <c r="H19" s="547">
        <f t="shared" si="20"/>
        <v>-19.798667500201251</v>
      </c>
      <c r="I19" s="547">
        <f t="shared" si="21"/>
        <v>0.56223418578871254</v>
      </c>
      <c r="J19" s="547">
        <f t="shared" si="69"/>
        <v>3.6561264822134287</v>
      </c>
      <c r="K19" s="547">
        <f t="shared" si="70"/>
        <v>8.6749285033365098</v>
      </c>
      <c r="L19" s="547">
        <f t="shared" si="71"/>
        <v>1.5789473684210575</v>
      </c>
      <c r="M19" s="547">
        <f t="shared" si="72"/>
        <v>6.1312607944732367</v>
      </c>
      <c r="N19" s="547">
        <f t="shared" si="73"/>
        <v>-5.7363710333613316E-2</v>
      </c>
      <c r="O19" s="560"/>
      <c r="P19" s="560"/>
      <c r="Q19" s="560"/>
      <c r="R19" s="560"/>
      <c r="S19" s="560"/>
      <c r="T19" s="561">
        <f t="shared" si="22"/>
        <v>32.932002053026245</v>
      </c>
      <c r="U19" s="562">
        <f t="shared" si="23"/>
        <v>16.563357479044804</v>
      </c>
      <c r="V19" s="562">
        <f t="shared" si="24"/>
        <v>7.9072210026948087</v>
      </c>
      <c r="W19" s="560"/>
      <c r="X19" s="547">
        <f t="shared" si="25"/>
        <v>15.642585350405479</v>
      </c>
      <c r="Y19" s="547">
        <f t="shared" si="26"/>
        <v>12.462441284889824</v>
      </c>
      <c r="Z19" s="547">
        <f t="shared" si="27"/>
        <v>11.662873524998973</v>
      </c>
      <c r="AA19" s="547">
        <f t="shared" si="28"/>
        <v>12.648410201213679</v>
      </c>
      <c r="AB19" s="547"/>
      <c r="AC19" s="547">
        <f t="shared" si="29"/>
        <v>0.14179624634176324</v>
      </c>
      <c r="AD19" s="547">
        <f t="shared" si="30"/>
        <v>1.8870923914841908</v>
      </c>
      <c r="AE19" s="547">
        <f t="shared" si="31"/>
        <v>7.59540637471674</v>
      </c>
      <c r="AF19" s="547">
        <f t="shared" si="32"/>
        <v>9.604066022409441</v>
      </c>
      <c r="AG19" s="547"/>
      <c r="AH19" s="547">
        <f t="shared" si="33"/>
        <v>7.2870891665223647</v>
      </c>
      <c r="AI19" s="547">
        <f t="shared" si="34"/>
        <v>4.928305481032802</v>
      </c>
      <c r="AJ19" s="547">
        <f t="shared" si="35"/>
        <v>-3.7763807619463519</v>
      </c>
      <c r="AK19" s="547">
        <f t="shared" si="36"/>
        <v>-5.8381704764663418</v>
      </c>
      <c r="AL19" s="547"/>
      <c r="AM19" s="547">
        <f t="shared" si="37"/>
        <v>-3.579991580334041</v>
      </c>
      <c r="AN19" s="547">
        <f t="shared" si="38"/>
        <v>-2.01816676334442</v>
      </c>
      <c r="AO19" s="547">
        <f t="shared" si="39"/>
        <v>-3.1594342953944476E-2</v>
      </c>
      <c r="AP19" s="552">
        <f t="shared" si="40"/>
        <v>0.56568217971222357</v>
      </c>
      <c r="AQ19" s="552"/>
      <c r="AR19" s="552">
        <f t="shared" si="41"/>
        <v>3.546634338029131</v>
      </c>
      <c r="AS19" s="552">
        <f t="shared" si="42"/>
        <v>5.279196217583304</v>
      </c>
      <c r="AT19" s="552">
        <f t="shared" si="43"/>
        <v>-18.919690630649633</v>
      </c>
      <c r="AU19" s="552">
        <f t="shared" si="44"/>
        <v>-19.798667500201251</v>
      </c>
      <c r="AV19" s="552">
        <f t="shared" si="74"/>
        <v>6.1312607944732367</v>
      </c>
      <c r="AW19" s="548">
        <f t="shared" si="14"/>
        <v>-5.7363710333613316E-2</v>
      </c>
      <c r="AX19" s="552"/>
      <c r="AY19" s="552">
        <f t="shared" si="45"/>
        <v>-18.591443674558583</v>
      </c>
      <c r="AZ19" s="552">
        <f t="shared" si="46"/>
        <v>-20.458558908483194</v>
      </c>
      <c r="BA19" s="552">
        <f t="shared" si="47"/>
        <v>0.75728196806403858</v>
      </c>
      <c r="BB19" s="552">
        <f t="shared" si="48"/>
        <v>0.56223418578871254</v>
      </c>
      <c r="BC19" s="552"/>
      <c r="BD19" s="552">
        <f t="shared" si="49"/>
        <v>3.0020572808258095</v>
      </c>
      <c r="BE19" s="552">
        <f t="shared" si="50"/>
        <v>1.5296181370293649</v>
      </c>
      <c r="BF19" s="552">
        <f t="shared" si="51"/>
        <v>-2.6574803149606252</v>
      </c>
      <c r="BG19" s="552">
        <f t="shared" si="52"/>
        <v>3.6561264822134287</v>
      </c>
      <c r="BH19" s="552"/>
      <c r="BI19" s="552">
        <f t="shared" si="53"/>
        <v>1.037735849056598</v>
      </c>
      <c r="BJ19" s="552">
        <f t="shared" si="54"/>
        <v>5.9386973180076463</v>
      </c>
      <c r="BK19" s="552">
        <f t="shared" si="55"/>
        <v>13.852376137512646</v>
      </c>
      <c r="BL19" s="552">
        <f t="shared" si="56"/>
        <v>8.6749285033365098</v>
      </c>
      <c r="BM19" s="552"/>
      <c r="BN19" s="552">
        <f t="shared" si="57"/>
        <v>7.1895424836601274</v>
      </c>
      <c r="BO19" s="552">
        <f t="shared" si="58"/>
        <v>4.8824593128390603</v>
      </c>
      <c r="BP19" s="552">
        <f t="shared" si="59"/>
        <v>2.4866785079929121</v>
      </c>
      <c r="BQ19" s="552">
        <f t="shared" si="60"/>
        <v>1.5789473684210575</v>
      </c>
      <c r="BR19" s="552"/>
      <c r="BS19" s="552">
        <f t="shared" si="61"/>
        <v>1.7421602787456525</v>
      </c>
      <c r="BT19" s="552">
        <f t="shared" si="62"/>
        <v>3.1034482758620641</v>
      </c>
      <c r="BU19" s="552">
        <f t="shared" si="63"/>
        <v>6.1525129982668902</v>
      </c>
      <c r="BV19" s="552">
        <f t="shared" si="64"/>
        <v>6.1312607944732367</v>
      </c>
      <c r="BW19" s="552"/>
      <c r="BX19" s="552">
        <f t="shared" si="65"/>
        <v>6.25</v>
      </c>
      <c r="BY19" s="552">
        <f t="shared" si="66"/>
        <v>1.3377926421404673</v>
      </c>
      <c r="BZ19" s="552">
        <f t="shared" si="67"/>
        <v>2.3673469387755386</v>
      </c>
      <c r="CA19" s="563">
        <f t="shared" si="68"/>
        <v>-5.7363710333613316E-2</v>
      </c>
    </row>
    <row r="20" spans="1:113" ht="12" customHeight="1" x14ac:dyDescent="0.2">
      <c r="A20" s="551" t="s">
        <v>128</v>
      </c>
      <c r="B20" s="547"/>
      <c r="C20" s="547">
        <f t="shared" si="15"/>
        <v>8.6255229262285802</v>
      </c>
      <c r="D20" s="547">
        <f t="shared" si="16"/>
        <v>2.2972541049623985</v>
      </c>
      <c r="E20" s="547">
        <f t="shared" si="17"/>
        <v>12.8692671847894</v>
      </c>
      <c r="F20" s="547">
        <f t="shared" si="18"/>
        <v>4.9307395664181186</v>
      </c>
      <c r="G20" s="547">
        <f t="shared" si="19"/>
        <v>-0.94463420819329569</v>
      </c>
      <c r="H20" s="547">
        <f t="shared" si="20"/>
        <v>-28.507527900337692</v>
      </c>
      <c r="I20" s="547">
        <f t="shared" si="21"/>
        <v>-0.67206937784455301</v>
      </c>
      <c r="J20" s="547">
        <f t="shared" si="69"/>
        <v>5.3333333333333233</v>
      </c>
      <c r="K20" s="547">
        <f t="shared" si="70"/>
        <v>5.8422590068159641</v>
      </c>
      <c r="L20" s="547">
        <f t="shared" si="71"/>
        <v>5.9797608095675914</v>
      </c>
      <c r="M20" s="547">
        <f t="shared" si="72"/>
        <v>7.2916666666666741</v>
      </c>
      <c r="N20" s="547">
        <f t="shared" si="73"/>
        <v>11.084142394822027</v>
      </c>
      <c r="O20" s="560"/>
      <c r="P20" s="560"/>
      <c r="Q20" s="560"/>
      <c r="R20" s="560"/>
      <c r="S20" s="560"/>
      <c r="T20" s="561">
        <f t="shared" si="22"/>
        <v>12.38877100549125</v>
      </c>
      <c r="U20" s="562">
        <f t="shared" si="23"/>
        <v>14.900208357319222</v>
      </c>
      <c r="V20" s="562">
        <f t="shared" si="24"/>
        <v>8.6255229262285802</v>
      </c>
      <c r="W20" s="560"/>
      <c r="X20" s="547">
        <f t="shared" si="25"/>
        <v>9.0767441842242835</v>
      </c>
      <c r="Y20" s="547">
        <f t="shared" si="26"/>
        <v>-2.0885561003965214</v>
      </c>
      <c r="Z20" s="547">
        <f t="shared" si="27"/>
        <v>0.5244950293126438</v>
      </c>
      <c r="AA20" s="547">
        <f t="shared" si="28"/>
        <v>2.2972541049623985</v>
      </c>
      <c r="AB20" s="547"/>
      <c r="AC20" s="547">
        <f t="shared" si="29"/>
        <v>4.6001046305084392</v>
      </c>
      <c r="AD20" s="547">
        <f t="shared" si="30"/>
        <v>7.3470983522087474</v>
      </c>
      <c r="AE20" s="547">
        <f t="shared" si="31"/>
        <v>13.372805516142705</v>
      </c>
      <c r="AF20" s="547">
        <f t="shared" si="32"/>
        <v>12.8692671847894</v>
      </c>
      <c r="AG20" s="547"/>
      <c r="AH20" s="547">
        <f t="shared" si="33"/>
        <v>14.949983931317878</v>
      </c>
      <c r="AI20" s="547">
        <f t="shared" si="34"/>
        <v>16.364789683053658</v>
      </c>
      <c r="AJ20" s="547">
        <f t="shared" si="35"/>
        <v>6.5749977600097376</v>
      </c>
      <c r="AK20" s="547">
        <f t="shared" si="36"/>
        <v>4.9307395664181186</v>
      </c>
      <c r="AL20" s="547"/>
      <c r="AM20" s="547">
        <f t="shared" si="37"/>
        <v>0.73303108663071992</v>
      </c>
      <c r="AN20" s="547">
        <f t="shared" si="38"/>
        <v>0.25360943290790861</v>
      </c>
      <c r="AO20" s="547">
        <f t="shared" si="39"/>
        <v>2.8243675985040184E-2</v>
      </c>
      <c r="AP20" s="552">
        <f t="shared" si="40"/>
        <v>-0.94463420819329569</v>
      </c>
      <c r="AQ20" s="552"/>
      <c r="AR20" s="552">
        <f t="shared" si="41"/>
        <v>0.3635766555512232</v>
      </c>
      <c r="AS20" s="552">
        <f t="shared" si="42"/>
        <v>-0.20535354504308545</v>
      </c>
      <c r="AT20" s="552">
        <f t="shared" si="43"/>
        <v>-28.656133642783633</v>
      </c>
      <c r="AU20" s="552">
        <f t="shared" si="44"/>
        <v>-28.507527900337692</v>
      </c>
      <c r="AV20" s="552">
        <f t="shared" si="74"/>
        <v>7.2916666666666741</v>
      </c>
      <c r="AW20" s="548">
        <f t="shared" si="14"/>
        <v>11.084142394822027</v>
      </c>
      <c r="AX20" s="552"/>
      <c r="AY20" s="552">
        <f t="shared" si="45"/>
        <v>-26.569915017335166</v>
      </c>
      <c r="AZ20" s="552">
        <f t="shared" si="46"/>
        <v>-26.744017724205261</v>
      </c>
      <c r="BA20" s="552">
        <f t="shared" si="47"/>
        <v>1.4737217649473333</v>
      </c>
      <c r="BB20" s="552">
        <f t="shared" si="48"/>
        <v>-0.67206937784455301</v>
      </c>
      <c r="BC20" s="552"/>
      <c r="BD20" s="552">
        <f t="shared" si="49"/>
        <v>3.370521286660999</v>
      </c>
      <c r="BE20" s="552">
        <f t="shared" si="50"/>
        <v>0.57874781017162036</v>
      </c>
      <c r="BF20" s="552">
        <f t="shared" si="51"/>
        <v>2.0958083832335328</v>
      </c>
      <c r="BG20" s="552">
        <f t="shared" si="52"/>
        <v>5.3333333333333233</v>
      </c>
      <c r="BH20" s="552"/>
      <c r="BI20" s="552">
        <f t="shared" si="53"/>
        <v>-0.48030739673389222</v>
      </c>
      <c r="BJ20" s="552">
        <f t="shared" si="54"/>
        <v>4.7244094488189115</v>
      </c>
      <c r="BK20" s="552">
        <f t="shared" si="55"/>
        <v>4.2033235581622641</v>
      </c>
      <c r="BL20" s="552">
        <f t="shared" si="56"/>
        <v>5.8422590068159641</v>
      </c>
      <c r="BM20" s="552"/>
      <c r="BN20" s="552">
        <f t="shared" si="57"/>
        <v>7.8185328185328196</v>
      </c>
      <c r="BO20" s="552">
        <f t="shared" si="58"/>
        <v>4.8872180451127623</v>
      </c>
      <c r="BP20" s="552">
        <f t="shared" si="59"/>
        <v>6.9418386491557182</v>
      </c>
      <c r="BQ20" s="552">
        <f t="shared" si="60"/>
        <v>5.9797608095675914</v>
      </c>
      <c r="BR20" s="552"/>
      <c r="BS20" s="552">
        <f t="shared" si="61"/>
        <v>2.7752909579229934</v>
      </c>
      <c r="BT20" s="552">
        <f t="shared" si="62"/>
        <v>4.4802867383512579</v>
      </c>
      <c r="BU20" s="552">
        <f t="shared" si="63"/>
        <v>7.3684210526315796</v>
      </c>
      <c r="BV20" s="552">
        <f t="shared" si="64"/>
        <v>7.2916666666666741</v>
      </c>
      <c r="BW20" s="552"/>
      <c r="BX20" s="552">
        <f t="shared" si="65"/>
        <v>8.9721254355400895</v>
      </c>
      <c r="BY20" s="552">
        <f t="shared" si="66"/>
        <v>10.205831903945128</v>
      </c>
      <c r="BZ20" s="552">
        <f t="shared" si="67"/>
        <v>7.9248366013072058</v>
      </c>
      <c r="CA20" s="563">
        <f t="shared" si="68"/>
        <v>11.084142394822027</v>
      </c>
    </row>
    <row r="21" spans="1:113" ht="12" customHeight="1" x14ac:dyDescent="0.2">
      <c r="A21" s="551" t="s">
        <v>129</v>
      </c>
      <c r="B21" s="547"/>
      <c r="C21" s="547">
        <f t="shared" si="15"/>
        <v>1.0637232748694991</v>
      </c>
      <c r="D21" s="547">
        <f t="shared" si="16"/>
        <v>-3.7193454003953796</v>
      </c>
      <c r="E21" s="547">
        <f t="shared" si="17"/>
        <v>3.0571691100330201</v>
      </c>
      <c r="F21" s="547">
        <f t="shared" si="18"/>
        <v>-9.0492735789920893</v>
      </c>
      <c r="G21" s="547">
        <f t="shared" si="19"/>
        <v>5.1072546981560052</v>
      </c>
      <c r="H21" s="547">
        <f t="shared" si="20"/>
        <v>-26.775622652008934</v>
      </c>
      <c r="I21" s="547">
        <f t="shared" si="21"/>
        <v>-0.65247753291103328</v>
      </c>
      <c r="J21" s="547">
        <f t="shared" si="69"/>
        <v>0.61412487205729782</v>
      </c>
      <c r="K21" s="547">
        <f t="shared" si="70"/>
        <v>9.7660223804679536</v>
      </c>
      <c r="L21" s="547">
        <f t="shared" si="71"/>
        <v>0.64874884151993051</v>
      </c>
      <c r="M21" s="547">
        <f t="shared" si="72"/>
        <v>3.3149171270718369</v>
      </c>
      <c r="N21" s="547">
        <f t="shared" si="73"/>
        <v>19.813368983957204</v>
      </c>
      <c r="O21" s="560"/>
      <c r="P21" s="560"/>
      <c r="Q21" s="560"/>
      <c r="R21" s="560"/>
      <c r="S21" s="560"/>
      <c r="T21" s="561">
        <f t="shared" si="22"/>
        <v>-3.392110996989961</v>
      </c>
      <c r="U21" s="562">
        <f t="shared" si="23"/>
        <v>3.3436604603461095</v>
      </c>
      <c r="V21" s="562">
        <f t="shared" si="24"/>
        <v>1.0637232748694991</v>
      </c>
      <c r="W21" s="560"/>
      <c r="X21" s="547">
        <f t="shared" si="25"/>
        <v>2.5181755288393726</v>
      </c>
      <c r="Y21" s="547">
        <f t="shared" si="26"/>
        <v>-0.62642122590690352</v>
      </c>
      <c r="Z21" s="547">
        <f t="shared" si="27"/>
        <v>-4.5481454972837394</v>
      </c>
      <c r="AA21" s="547">
        <f t="shared" si="28"/>
        <v>-3.7193454003953796</v>
      </c>
      <c r="AB21" s="547"/>
      <c r="AC21" s="547">
        <f t="shared" si="29"/>
        <v>1.0187310828528195</v>
      </c>
      <c r="AD21" s="547">
        <f t="shared" si="30"/>
        <v>3.5882929364872806</v>
      </c>
      <c r="AE21" s="547">
        <f t="shared" si="31"/>
        <v>4.23220938343154</v>
      </c>
      <c r="AF21" s="547">
        <f t="shared" si="32"/>
        <v>3.0571691100330201</v>
      </c>
      <c r="AG21" s="547"/>
      <c r="AH21" s="547">
        <f t="shared" si="33"/>
        <v>-1.5224459512125477</v>
      </c>
      <c r="AI21" s="547">
        <f t="shared" si="34"/>
        <v>-6.9872565343944153</v>
      </c>
      <c r="AJ21" s="547">
        <f t="shared" si="35"/>
        <v>-6.700113158983811</v>
      </c>
      <c r="AK21" s="547">
        <f t="shared" si="36"/>
        <v>-9.0492735789920893</v>
      </c>
      <c r="AL21" s="547"/>
      <c r="AM21" s="547">
        <f t="shared" si="37"/>
        <v>-4.9318263311791233</v>
      </c>
      <c r="AN21" s="547">
        <f t="shared" si="38"/>
        <v>-0.34211855439103545</v>
      </c>
      <c r="AO21" s="547">
        <f t="shared" si="39"/>
        <v>1.4952179453748604</v>
      </c>
      <c r="AP21" s="552">
        <f t="shared" si="40"/>
        <v>5.1072546981560052</v>
      </c>
      <c r="AQ21" s="552"/>
      <c r="AR21" s="552">
        <f t="shared" si="41"/>
        <v>4.1940525829447628</v>
      </c>
      <c r="AS21" s="552">
        <f t="shared" si="42"/>
        <v>5.6356715328137019</v>
      </c>
      <c r="AT21" s="552">
        <f t="shared" si="43"/>
        <v>-25.110722374894955</v>
      </c>
      <c r="AU21" s="552">
        <f t="shared" si="44"/>
        <v>-26.775622652008934</v>
      </c>
      <c r="AV21" s="552">
        <f t="shared" si="74"/>
        <v>3.3149171270718369</v>
      </c>
      <c r="AW21" s="548">
        <f t="shared" si="14"/>
        <v>19.813368983957204</v>
      </c>
      <c r="AX21" s="552"/>
      <c r="AY21" s="552">
        <f t="shared" si="45"/>
        <v>-25.751833880486309</v>
      </c>
      <c r="AZ21" s="552">
        <f t="shared" si="46"/>
        <v>-26.71998609852767</v>
      </c>
      <c r="BA21" s="552">
        <f t="shared" si="47"/>
        <v>3.8086059610310086</v>
      </c>
      <c r="BB21" s="552">
        <f t="shared" si="48"/>
        <v>-0.65247753291103328</v>
      </c>
      <c r="BC21" s="552"/>
      <c r="BD21" s="552">
        <f t="shared" si="49"/>
        <v>-4.6981314438543027</v>
      </c>
      <c r="BE21" s="552">
        <f t="shared" si="50"/>
        <v>4.0206100781334131</v>
      </c>
      <c r="BF21" s="552">
        <f t="shared" si="51"/>
        <v>-2.3622047244094446</v>
      </c>
      <c r="BG21" s="552">
        <f t="shared" si="52"/>
        <v>0.61412487205729782</v>
      </c>
      <c r="BH21" s="552"/>
      <c r="BI21" s="552">
        <f t="shared" si="53"/>
        <v>3.2291666666666607</v>
      </c>
      <c r="BJ21" s="552">
        <f t="shared" si="54"/>
        <v>-0.28598665395616063</v>
      </c>
      <c r="BK21" s="552">
        <f t="shared" si="55"/>
        <v>6.754032258064524</v>
      </c>
      <c r="BL21" s="552">
        <f t="shared" si="56"/>
        <v>9.7660223804679536</v>
      </c>
      <c r="BM21" s="552"/>
      <c r="BN21" s="552">
        <f t="shared" si="57"/>
        <v>8.7790110998990922</v>
      </c>
      <c r="BO21" s="552">
        <f t="shared" si="58"/>
        <v>3.7284894837476212</v>
      </c>
      <c r="BP21" s="552">
        <f t="shared" si="59"/>
        <v>2.3607176581680767</v>
      </c>
      <c r="BQ21" s="552">
        <f t="shared" si="60"/>
        <v>0.64874884151993051</v>
      </c>
      <c r="BR21" s="552"/>
      <c r="BS21" s="552">
        <f t="shared" si="61"/>
        <v>1.1131725417439675</v>
      </c>
      <c r="BT21" s="552">
        <f t="shared" si="62"/>
        <v>1.658986175115218</v>
      </c>
      <c r="BU21" s="552">
        <f t="shared" si="63"/>
        <v>3.1365313653136662</v>
      </c>
      <c r="BV21" s="552">
        <f t="shared" si="64"/>
        <v>3.3149171270718369</v>
      </c>
      <c r="BW21" s="552"/>
      <c r="BX21" s="552">
        <f t="shared" si="65"/>
        <v>4.6788990825687993</v>
      </c>
      <c r="BY21" s="552">
        <f t="shared" si="66"/>
        <v>3.5358114233907445</v>
      </c>
      <c r="BZ21" s="552">
        <f t="shared" si="67"/>
        <v>18.425760286225401</v>
      </c>
      <c r="CA21" s="563">
        <f t="shared" si="68"/>
        <v>19.813368983957204</v>
      </c>
    </row>
    <row r="22" spans="1:113" ht="12" customHeight="1" x14ac:dyDescent="0.2">
      <c r="A22" s="551" t="s">
        <v>130</v>
      </c>
      <c r="B22" s="547"/>
      <c r="C22" s="547">
        <f t="shared" si="15"/>
        <v>1.0823082366617331</v>
      </c>
      <c r="D22" s="547">
        <f t="shared" si="16"/>
        <v>4.0097864399798455</v>
      </c>
      <c r="E22" s="547">
        <f t="shared" si="17"/>
        <v>0.21324641206919015</v>
      </c>
      <c r="F22" s="547">
        <f t="shared" si="18"/>
        <v>-0.5120810533198461</v>
      </c>
      <c r="G22" s="547">
        <f t="shared" si="19"/>
        <v>1.7006269497690019</v>
      </c>
      <c r="H22" s="547">
        <f t="shared" si="20"/>
        <v>-27.976885232904237</v>
      </c>
      <c r="I22" s="547">
        <f t="shared" si="21"/>
        <v>4.8492470240823593</v>
      </c>
      <c r="J22" s="547">
        <f t="shared" si="69"/>
        <v>-7.8708375378405693</v>
      </c>
      <c r="K22" s="547">
        <f t="shared" si="70"/>
        <v>8.4337349397590309</v>
      </c>
      <c r="L22" s="547">
        <f t="shared" si="71"/>
        <v>22.626262626262637</v>
      </c>
      <c r="M22" s="547">
        <f t="shared" si="72"/>
        <v>1.8121911037891181</v>
      </c>
      <c r="N22" s="547">
        <f t="shared" si="73"/>
        <v>5.3883495145631288</v>
      </c>
      <c r="O22" s="560"/>
      <c r="P22" s="560"/>
      <c r="Q22" s="560"/>
      <c r="R22" s="560"/>
      <c r="S22" s="560"/>
      <c r="T22" s="561">
        <f t="shared" si="22"/>
        <v>8.974604023226739</v>
      </c>
      <c r="U22" s="562">
        <f t="shared" si="23"/>
        <v>6.2990514922426355</v>
      </c>
      <c r="V22" s="562">
        <f t="shared" si="24"/>
        <v>1.0823082366617331</v>
      </c>
      <c r="W22" s="560"/>
      <c r="X22" s="547">
        <f t="shared" si="25"/>
        <v>7.5935563797850936</v>
      </c>
      <c r="Y22" s="547">
        <f t="shared" si="26"/>
        <v>2.3157384298650552</v>
      </c>
      <c r="Z22" s="547">
        <f t="shared" si="27"/>
        <v>3.166321429563812</v>
      </c>
      <c r="AA22" s="547">
        <f t="shared" si="28"/>
        <v>4.0097864399798455</v>
      </c>
      <c r="AB22" s="547"/>
      <c r="AC22" s="547">
        <f t="shared" si="29"/>
        <v>6.6206287712414991</v>
      </c>
      <c r="AD22" s="547">
        <f t="shared" si="30"/>
        <v>4.1713236244736107</v>
      </c>
      <c r="AE22" s="547">
        <f t="shared" si="31"/>
        <v>2.8967548282294642</v>
      </c>
      <c r="AF22" s="547">
        <f t="shared" si="32"/>
        <v>0.21324641206919015</v>
      </c>
      <c r="AG22" s="547"/>
      <c r="AH22" s="547">
        <f t="shared" si="33"/>
        <v>-2.3894920493367722</v>
      </c>
      <c r="AI22" s="547">
        <f t="shared" si="34"/>
        <v>-2.4872883895187381</v>
      </c>
      <c r="AJ22" s="547">
        <f t="shared" si="35"/>
        <v>-1.7683842442405839</v>
      </c>
      <c r="AK22" s="547">
        <f t="shared" si="36"/>
        <v>-0.5120810533198461</v>
      </c>
      <c r="AL22" s="547"/>
      <c r="AM22" s="547">
        <f t="shared" si="37"/>
        <v>-1.6832590866526109</v>
      </c>
      <c r="AN22" s="547">
        <f t="shared" si="38"/>
        <v>0.73947683327701963</v>
      </c>
      <c r="AO22" s="547">
        <f t="shared" si="39"/>
        <v>1.158662193537574</v>
      </c>
      <c r="AP22" s="552">
        <f t="shared" si="40"/>
        <v>1.7006269497690019</v>
      </c>
      <c r="AQ22" s="552"/>
      <c r="AR22" s="552">
        <f t="shared" si="41"/>
        <v>1.5828883962075047</v>
      </c>
      <c r="AS22" s="552">
        <f t="shared" si="42"/>
        <v>-0.24208049390959108</v>
      </c>
      <c r="AT22" s="552">
        <f t="shared" si="43"/>
        <v>-27.858868603684339</v>
      </c>
      <c r="AU22" s="552">
        <f t="shared" si="44"/>
        <v>-27.976885232904237</v>
      </c>
      <c r="AV22" s="552">
        <f t="shared" si="74"/>
        <v>1.8121911037891181</v>
      </c>
      <c r="AW22" s="548">
        <f t="shared" si="14"/>
        <v>5.3883495145631288</v>
      </c>
      <c r="AX22" s="552"/>
      <c r="AY22" s="552">
        <f t="shared" si="45"/>
        <v>-25.415466830310983</v>
      </c>
      <c r="AZ22" s="552">
        <f t="shared" si="46"/>
        <v>-24.075674040584126</v>
      </c>
      <c r="BA22" s="552">
        <f t="shared" si="47"/>
        <v>2.5031271973930735</v>
      </c>
      <c r="BB22" s="552">
        <f t="shared" si="48"/>
        <v>4.8492470240823593</v>
      </c>
      <c r="BC22" s="552"/>
      <c r="BD22" s="552">
        <f t="shared" si="49"/>
        <v>-1.1616568169868891</v>
      </c>
      <c r="BE22" s="552">
        <f t="shared" si="50"/>
        <v>-3.6511190985091035</v>
      </c>
      <c r="BF22" s="552">
        <f t="shared" si="51"/>
        <v>-5.1759834368530155</v>
      </c>
      <c r="BG22" s="552">
        <f t="shared" si="52"/>
        <v>-7.8708375378405693</v>
      </c>
      <c r="BH22" s="552"/>
      <c r="BI22" s="552">
        <f t="shared" si="53"/>
        <v>-1.9832985386221358</v>
      </c>
      <c r="BJ22" s="552">
        <f t="shared" si="54"/>
        <v>-1.1677282377919429</v>
      </c>
      <c r="BK22" s="552">
        <f t="shared" si="55"/>
        <v>4.4759825327510994</v>
      </c>
      <c r="BL22" s="552">
        <f t="shared" si="56"/>
        <v>8.4337349397590309</v>
      </c>
      <c r="BM22" s="552"/>
      <c r="BN22" s="552">
        <f t="shared" si="57"/>
        <v>7.561235356762519</v>
      </c>
      <c r="BO22" s="552">
        <f t="shared" si="58"/>
        <v>16.86358754027928</v>
      </c>
      <c r="BP22" s="552">
        <f t="shared" si="59"/>
        <v>20.898641588296773</v>
      </c>
      <c r="BQ22" s="552">
        <f t="shared" si="60"/>
        <v>22.626262626262637</v>
      </c>
      <c r="BR22" s="552"/>
      <c r="BS22" s="552">
        <f t="shared" si="61"/>
        <v>19.504950495049499</v>
      </c>
      <c r="BT22" s="552">
        <f t="shared" si="62"/>
        <v>12.775735294117641</v>
      </c>
      <c r="BU22" s="552">
        <f t="shared" si="63"/>
        <v>7.0008643042350771</v>
      </c>
      <c r="BV22" s="552">
        <f t="shared" si="64"/>
        <v>1.8121911037891181</v>
      </c>
      <c r="BW22" s="552"/>
      <c r="BX22" s="552">
        <f t="shared" si="65"/>
        <v>-3.7282518641259199</v>
      </c>
      <c r="BY22" s="552">
        <f t="shared" si="66"/>
        <v>-0.73349633251835744</v>
      </c>
      <c r="BZ22" s="552">
        <f t="shared" si="67"/>
        <v>-0.56542810985459324</v>
      </c>
      <c r="CA22" s="563">
        <f t="shared" si="68"/>
        <v>5.3883495145631288</v>
      </c>
    </row>
    <row r="23" spans="1:113" ht="12" customHeight="1" x14ac:dyDescent="0.2">
      <c r="A23" s="551" t="s">
        <v>131</v>
      </c>
      <c r="B23" s="547"/>
      <c r="C23" s="547">
        <f t="shared" si="15"/>
        <v>4.4534553836632407</v>
      </c>
      <c r="D23" s="547">
        <f t="shared" si="16"/>
        <v>7.3771095839132883</v>
      </c>
      <c r="E23" s="547">
        <f t="shared" si="17"/>
        <v>1.0793791822500731</v>
      </c>
      <c r="F23" s="547">
        <f t="shared" si="18"/>
        <v>4.5906105918403606</v>
      </c>
      <c r="G23" s="547">
        <f t="shared" si="19"/>
        <v>3.4655847695008068</v>
      </c>
      <c r="H23" s="547">
        <f t="shared" si="20"/>
        <v>-37.405517251678354</v>
      </c>
      <c r="I23" s="547">
        <f t="shared" si="21"/>
        <v>2.4222510000498687</v>
      </c>
      <c r="J23" s="547">
        <f t="shared" si="69"/>
        <v>1.2416427889207382</v>
      </c>
      <c r="K23" s="547">
        <f t="shared" si="70"/>
        <v>21.415094339622655</v>
      </c>
      <c r="L23" s="547">
        <f t="shared" si="71"/>
        <v>18.570318570318566</v>
      </c>
      <c r="M23" s="547">
        <f t="shared" si="72"/>
        <v>2.6867627785059023</v>
      </c>
      <c r="N23" s="547">
        <f t="shared" si="73"/>
        <v>3.8927887683471774</v>
      </c>
      <c r="O23" s="560"/>
      <c r="P23" s="560"/>
      <c r="Q23" s="560"/>
      <c r="R23" s="560"/>
      <c r="S23" s="560"/>
      <c r="T23" s="561">
        <f t="shared" si="22"/>
        <v>25.915603971356525</v>
      </c>
      <c r="U23" s="562">
        <f t="shared" si="23"/>
        <v>3.667453942953558</v>
      </c>
      <c r="V23" s="562">
        <f t="shared" si="24"/>
        <v>4.4534553836632407</v>
      </c>
      <c r="W23" s="560"/>
      <c r="X23" s="547">
        <f t="shared" si="25"/>
        <v>2.1267037245026765</v>
      </c>
      <c r="Y23" s="547">
        <f t="shared" si="26"/>
        <v>7.4063034853897758</v>
      </c>
      <c r="Z23" s="547">
        <f t="shared" si="27"/>
        <v>5.7875542748524911</v>
      </c>
      <c r="AA23" s="547">
        <f t="shared" si="28"/>
        <v>7.3771095839132883</v>
      </c>
      <c r="AB23" s="547"/>
      <c r="AC23" s="547">
        <f t="shared" si="29"/>
        <v>6.447131938815942</v>
      </c>
      <c r="AD23" s="547">
        <f t="shared" si="30"/>
        <v>1.8365982190857943</v>
      </c>
      <c r="AE23" s="547">
        <f t="shared" si="31"/>
        <v>2.4844720500279971</v>
      </c>
      <c r="AF23" s="547">
        <f t="shared" si="32"/>
        <v>1.0793791822500731</v>
      </c>
      <c r="AG23" s="547"/>
      <c r="AH23" s="547">
        <f t="shared" si="33"/>
        <v>2.8264036478915511</v>
      </c>
      <c r="AI23" s="547">
        <f t="shared" si="34"/>
        <v>4.2646775026874639</v>
      </c>
      <c r="AJ23" s="547">
        <f t="shared" si="35"/>
        <v>6.18554468201018</v>
      </c>
      <c r="AK23" s="547">
        <f t="shared" si="36"/>
        <v>4.5906105918403606</v>
      </c>
      <c r="AL23" s="547"/>
      <c r="AM23" s="547">
        <f t="shared" si="37"/>
        <v>1.5013973027730776</v>
      </c>
      <c r="AN23" s="547">
        <f t="shared" si="38"/>
        <v>1.8329777696854732</v>
      </c>
      <c r="AO23" s="547">
        <f t="shared" si="39"/>
        <v>1.3376156186049482</v>
      </c>
      <c r="AP23" s="552">
        <f t="shared" si="40"/>
        <v>3.4655847695008068</v>
      </c>
      <c r="AQ23" s="552"/>
      <c r="AR23" s="552">
        <f t="shared" si="41"/>
        <v>3.9201064927635754</v>
      </c>
      <c r="AS23" s="552">
        <f t="shared" si="42"/>
        <v>3.3683380005027796</v>
      </c>
      <c r="AT23" s="552">
        <f t="shared" si="43"/>
        <v>-36.932244785557153</v>
      </c>
      <c r="AU23" s="552">
        <f t="shared" si="44"/>
        <v>-37.405517251678354</v>
      </c>
      <c r="AV23" s="552">
        <f t="shared" si="74"/>
        <v>2.6867627785059023</v>
      </c>
      <c r="AW23" s="548">
        <f t="shared" si="14"/>
        <v>3.8927887683471774</v>
      </c>
      <c r="AX23" s="552"/>
      <c r="AY23" s="552">
        <f t="shared" si="45"/>
        <v>-36.620301250013078</v>
      </c>
      <c r="AZ23" s="552">
        <f t="shared" si="46"/>
        <v>-36.624333103275077</v>
      </c>
      <c r="BA23" s="552">
        <f t="shared" si="47"/>
        <v>2.7692300897759203</v>
      </c>
      <c r="BB23" s="552">
        <f t="shared" si="48"/>
        <v>2.4222510000498687</v>
      </c>
      <c r="BC23" s="552"/>
      <c r="BD23" s="552">
        <f t="shared" si="49"/>
        <v>-1.6063920787229513</v>
      </c>
      <c r="BE23" s="552">
        <f t="shared" si="50"/>
        <v>16.124119072362664</v>
      </c>
      <c r="BF23" s="552">
        <f t="shared" si="51"/>
        <v>6.1728395061728225</v>
      </c>
      <c r="BG23" s="552">
        <f t="shared" si="52"/>
        <v>1.2416427889207382</v>
      </c>
      <c r="BH23" s="552"/>
      <c r="BI23" s="552">
        <f t="shared" si="53"/>
        <v>3.2352941176470695</v>
      </c>
      <c r="BJ23" s="552">
        <f t="shared" si="54"/>
        <v>-11.914543960558744</v>
      </c>
      <c r="BK23" s="552">
        <f t="shared" si="55"/>
        <v>-1.9677996422182265</v>
      </c>
      <c r="BL23" s="552">
        <f t="shared" si="56"/>
        <v>21.415094339622655</v>
      </c>
      <c r="BM23" s="552"/>
      <c r="BN23" s="552">
        <f t="shared" si="57"/>
        <v>41.785375118708458</v>
      </c>
      <c r="BO23" s="552">
        <f t="shared" si="58"/>
        <v>39.645522388059675</v>
      </c>
      <c r="BP23" s="552">
        <f t="shared" si="59"/>
        <v>36.678832116788328</v>
      </c>
      <c r="BQ23" s="552">
        <f t="shared" si="60"/>
        <v>18.570318570318566</v>
      </c>
      <c r="BR23" s="552"/>
      <c r="BS23" s="552">
        <f t="shared" si="61"/>
        <v>3.2150033489618091</v>
      </c>
      <c r="BT23" s="552">
        <f t="shared" si="62"/>
        <v>2.1376085504342113</v>
      </c>
      <c r="BU23" s="552">
        <f t="shared" si="63"/>
        <v>3.3377837116155051</v>
      </c>
      <c r="BV23" s="552">
        <f t="shared" si="64"/>
        <v>2.6867627785059023</v>
      </c>
      <c r="BW23" s="552"/>
      <c r="BX23" s="552">
        <f t="shared" si="65"/>
        <v>1.8170019467877996</v>
      </c>
      <c r="BY23" s="552">
        <f t="shared" si="66"/>
        <v>2.9431000654022155</v>
      </c>
      <c r="BZ23" s="552">
        <f t="shared" si="67"/>
        <v>5.1679586563307511</v>
      </c>
      <c r="CA23" s="563">
        <f t="shared" si="68"/>
        <v>3.8927887683471774</v>
      </c>
    </row>
    <row r="24" spans="1:113" ht="12" customHeight="1" x14ac:dyDescent="0.2">
      <c r="A24" s="551" t="s">
        <v>132</v>
      </c>
      <c r="B24" s="547"/>
      <c r="C24" s="547">
        <f t="shared" si="15"/>
        <v>8.276273979273018</v>
      </c>
      <c r="D24" s="547">
        <f t="shared" si="16"/>
        <v>-2.4128529647184926</v>
      </c>
      <c r="E24" s="547">
        <f t="shared" si="17"/>
        <v>12.217181637607123</v>
      </c>
      <c r="F24" s="547">
        <f t="shared" si="18"/>
        <v>-4.8262688788357266</v>
      </c>
      <c r="G24" s="547">
        <f t="shared" si="19"/>
        <v>-2.1661855323797496</v>
      </c>
      <c r="H24" s="547">
        <f t="shared" si="20"/>
        <v>-27.927074249251771</v>
      </c>
      <c r="I24" s="547">
        <f t="shared" si="21"/>
        <v>5.6157852866902225</v>
      </c>
      <c r="J24" s="547">
        <f t="shared" si="69"/>
        <v>0.75117370892019419</v>
      </c>
      <c r="K24" s="547">
        <f t="shared" si="70"/>
        <v>12.395153774464118</v>
      </c>
      <c r="L24" s="547">
        <f t="shared" si="71"/>
        <v>5.0580431177446039</v>
      </c>
      <c r="M24" s="547">
        <f t="shared" si="72"/>
        <v>2.3677979479084232</v>
      </c>
      <c r="N24" s="547">
        <f t="shared" si="73"/>
        <v>9.7828835774865119</v>
      </c>
      <c r="O24" s="564"/>
      <c r="P24" s="564"/>
      <c r="Q24" s="564"/>
      <c r="R24" s="564"/>
      <c r="S24" s="565"/>
      <c r="T24" s="566">
        <f t="shared" si="22"/>
        <v>23.830331756417799</v>
      </c>
      <c r="U24" s="567">
        <f t="shared" si="23"/>
        <v>4.6412871066048522</v>
      </c>
      <c r="V24" s="567">
        <f t="shared" si="24"/>
        <v>8.276273979273018</v>
      </c>
      <c r="W24" s="565"/>
      <c r="X24" s="568">
        <f t="shared" si="25"/>
        <v>1.6123660848713195</v>
      </c>
      <c r="Y24" s="568">
        <f t="shared" si="26"/>
        <v>5.0090310020125761</v>
      </c>
      <c r="Z24" s="568">
        <f t="shared" si="27"/>
        <v>0.55972156145585039</v>
      </c>
      <c r="AA24" s="568">
        <f t="shared" si="28"/>
        <v>-2.4128529647184926</v>
      </c>
      <c r="AB24" s="568"/>
      <c r="AC24" s="568">
        <f t="shared" si="29"/>
        <v>8.2913154707335615</v>
      </c>
      <c r="AD24" s="568">
        <f t="shared" si="30"/>
        <v>1.2202700064272376</v>
      </c>
      <c r="AE24" s="568">
        <f t="shared" si="31"/>
        <v>9.521960181087529</v>
      </c>
      <c r="AF24" s="568">
        <f t="shared" si="32"/>
        <v>12.217181637607123</v>
      </c>
      <c r="AG24" s="568"/>
      <c r="AH24" s="568">
        <f t="shared" si="33"/>
        <v>2.128614614101898</v>
      </c>
      <c r="AI24" s="568">
        <f t="shared" si="34"/>
        <v>2.5108405623801566</v>
      </c>
      <c r="AJ24" s="568">
        <f t="shared" si="35"/>
        <v>-4.449074012498655</v>
      </c>
      <c r="AK24" s="568">
        <f t="shared" si="36"/>
        <v>-4.8262688788357266</v>
      </c>
      <c r="AL24" s="568"/>
      <c r="AM24" s="568">
        <f t="shared" si="37"/>
        <v>-1.5215321087778344</v>
      </c>
      <c r="AN24" s="568">
        <f t="shared" si="38"/>
        <v>-0.38529226084741408</v>
      </c>
      <c r="AO24" s="568">
        <f t="shared" si="39"/>
        <v>-1.1021248694390362</v>
      </c>
      <c r="AP24" s="568">
        <f t="shared" si="40"/>
        <v>-2.1661855323797496</v>
      </c>
      <c r="AQ24" s="568"/>
      <c r="AR24" s="568">
        <f t="shared" si="41"/>
        <v>-4.9997719802150176</v>
      </c>
      <c r="AS24" s="568">
        <f t="shared" si="42"/>
        <v>-1.2366745683533575</v>
      </c>
      <c r="AT24" s="568">
        <f t="shared" si="43"/>
        <v>-28.587593195657355</v>
      </c>
      <c r="AU24" s="568">
        <f t="shared" si="44"/>
        <v>-27.927074249251771</v>
      </c>
      <c r="AV24" s="552">
        <f t="shared" si="74"/>
        <v>2.3677979479084232</v>
      </c>
      <c r="AW24" s="548">
        <f t="shared" si="14"/>
        <v>9.7828835774865119</v>
      </c>
      <c r="AX24" s="568"/>
      <c r="AY24" s="568">
        <f t="shared" si="45"/>
        <v>-25.003656627117032</v>
      </c>
      <c r="AZ24" s="568">
        <f t="shared" si="46"/>
        <v>-25.597574982069304</v>
      </c>
      <c r="BA24" s="568">
        <f t="shared" si="47"/>
        <v>5.3424360797824644</v>
      </c>
      <c r="BB24" s="568">
        <f t="shared" si="48"/>
        <v>5.6157852866902225</v>
      </c>
      <c r="BC24" s="568"/>
      <c r="BD24" s="568">
        <f t="shared" si="49"/>
        <v>-0.7121020571191683</v>
      </c>
      <c r="BE24" s="568">
        <f t="shared" si="50"/>
        <v>3.7938437880526976</v>
      </c>
      <c r="BF24" s="568">
        <f t="shared" si="51"/>
        <v>1.413760603204528</v>
      </c>
      <c r="BG24" s="568">
        <f t="shared" si="52"/>
        <v>0.75117370892019419</v>
      </c>
      <c r="BH24" s="568"/>
      <c r="BI24" s="568">
        <f t="shared" si="53"/>
        <v>10.76190476190475</v>
      </c>
      <c r="BJ24" s="568">
        <f t="shared" si="54"/>
        <v>6.2328139321723208</v>
      </c>
      <c r="BK24" s="568">
        <f t="shared" si="55"/>
        <v>10.68773234200744</v>
      </c>
      <c r="BL24" s="568">
        <f t="shared" si="56"/>
        <v>12.395153774464118</v>
      </c>
      <c r="BM24" s="568"/>
      <c r="BN24" s="568">
        <f t="shared" si="57"/>
        <v>6.9647463456578018</v>
      </c>
      <c r="BO24" s="568">
        <f t="shared" si="58"/>
        <v>8.5418464193270047</v>
      </c>
      <c r="BP24" s="568">
        <f t="shared" si="59"/>
        <v>6.1293031066330661</v>
      </c>
      <c r="BQ24" s="568">
        <f t="shared" si="60"/>
        <v>5.0580431177446039</v>
      </c>
      <c r="BR24" s="568"/>
      <c r="BS24" s="552">
        <f t="shared" si="61"/>
        <v>1.7684887459806786</v>
      </c>
      <c r="BT24" s="552">
        <f t="shared" si="62"/>
        <v>0.79491255961843255</v>
      </c>
      <c r="BU24" s="552">
        <f t="shared" si="63"/>
        <v>2.2151898734177111</v>
      </c>
      <c r="BV24" s="552">
        <f t="shared" si="64"/>
        <v>2.3677979479084232</v>
      </c>
      <c r="BW24" s="552"/>
      <c r="BX24" s="552">
        <f t="shared" si="65"/>
        <v>5.8451816745655583</v>
      </c>
      <c r="BY24" s="552">
        <f t="shared" si="66"/>
        <v>5.835962145110396</v>
      </c>
      <c r="BZ24" s="552">
        <f t="shared" si="67"/>
        <v>6.8885448916408798</v>
      </c>
      <c r="CA24" s="563">
        <f t="shared" si="68"/>
        <v>9.7828835774865119</v>
      </c>
    </row>
    <row r="25" spans="1:113" ht="12" customHeight="1" x14ac:dyDescent="0.2">
      <c r="A25" s="546" t="s">
        <v>144</v>
      </c>
      <c r="B25" s="547"/>
      <c r="C25" s="547">
        <f t="shared" si="15"/>
        <v>11.275133236980173</v>
      </c>
      <c r="D25" s="547">
        <f t="shared" si="16"/>
        <v>-1.5354302599002168E-2</v>
      </c>
      <c r="E25" s="547">
        <f t="shared" si="17"/>
        <v>11.204942398657858</v>
      </c>
      <c r="F25" s="547">
        <f t="shared" si="18"/>
        <v>-1.9552265004986413</v>
      </c>
      <c r="G25" s="547">
        <f t="shared" si="19"/>
        <v>2.1660422336809093</v>
      </c>
      <c r="H25" s="547">
        <f t="shared" si="20"/>
        <v>-29.661999089380821</v>
      </c>
      <c r="I25" s="547">
        <f t="shared" si="21"/>
        <v>9.2020157104404134</v>
      </c>
      <c r="J25" s="547">
        <f t="shared" si="69"/>
        <v>4.5698924731182977</v>
      </c>
      <c r="K25" s="547">
        <f t="shared" si="70"/>
        <v>-1.28534704370179</v>
      </c>
      <c r="L25" s="547">
        <f t="shared" si="71"/>
        <v>9.375</v>
      </c>
      <c r="M25" s="547">
        <f t="shared" si="72"/>
        <v>6.507936507936507</v>
      </c>
      <c r="N25" s="547">
        <f t="shared" si="73"/>
        <v>13.536512667660205</v>
      </c>
      <c r="O25" s="560"/>
      <c r="P25" s="560"/>
      <c r="Q25" s="560"/>
      <c r="R25" s="560"/>
      <c r="S25" s="560"/>
      <c r="T25" s="561">
        <f t="shared" si="22"/>
        <v>18.10188295838142</v>
      </c>
      <c r="U25" s="562">
        <f t="shared" si="23"/>
        <v>11.660774179112554</v>
      </c>
      <c r="V25" s="562">
        <f t="shared" si="24"/>
        <v>11.275133236980173</v>
      </c>
      <c r="W25" s="560"/>
      <c r="X25" s="547">
        <f t="shared" si="25"/>
        <v>21.068641088868524</v>
      </c>
      <c r="Y25" s="547">
        <f t="shared" si="26"/>
        <v>13.143760657710168</v>
      </c>
      <c r="Z25" s="547">
        <f t="shared" si="27"/>
        <v>12.537132622915648</v>
      </c>
      <c r="AA25" s="547">
        <f t="shared" si="28"/>
        <v>-1.5354302599002168E-2</v>
      </c>
      <c r="AB25" s="547"/>
      <c r="AC25" s="547">
        <f t="shared" si="29"/>
        <v>-3.8554701780838863</v>
      </c>
      <c r="AD25" s="547">
        <f t="shared" si="30"/>
        <v>-8.9667256895431091</v>
      </c>
      <c r="AE25" s="547">
        <f t="shared" si="31"/>
        <v>0.89526591956095025</v>
      </c>
      <c r="AF25" s="547">
        <f t="shared" si="32"/>
        <v>11.204942398657858</v>
      </c>
      <c r="AG25" s="547"/>
      <c r="AH25" s="547">
        <f t="shared" si="33"/>
        <v>0.3173287689750115</v>
      </c>
      <c r="AI25" s="547">
        <f t="shared" si="34"/>
        <v>18.21608770410943</v>
      </c>
      <c r="AJ25" s="547">
        <f t="shared" si="35"/>
        <v>4.3424214038633391</v>
      </c>
      <c r="AK25" s="547">
        <f t="shared" si="36"/>
        <v>-1.9552265004986413</v>
      </c>
      <c r="AL25" s="547"/>
      <c r="AM25" s="547">
        <f t="shared" si="37"/>
        <v>6.0558829803288416</v>
      </c>
      <c r="AN25" s="547">
        <f t="shared" si="38"/>
        <v>-1.4654673323286849</v>
      </c>
      <c r="AO25" s="547">
        <f t="shared" si="39"/>
        <v>-6.4780221892889456</v>
      </c>
      <c r="AP25" s="552">
        <f t="shared" si="40"/>
        <v>2.1660422336809093</v>
      </c>
      <c r="AQ25" s="552"/>
      <c r="AR25" s="552">
        <f t="shared" si="41"/>
        <v>4.7294721483661428</v>
      </c>
      <c r="AS25" s="552">
        <f t="shared" si="42"/>
        <v>2.6214315610087136</v>
      </c>
      <c r="AT25" s="552">
        <f t="shared" si="43"/>
        <v>-26.002211090822847</v>
      </c>
      <c r="AU25" s="552">
        <f t="shared" si="44"/>
        <v>-29.661999089380821</v>
      </c>
      <c r="AV25" s="552">
        <f t="shared" si="74"/>
        <v>6.507936507936507</v>
      </c>
      <c r="AW25" s="548">
        <f t="shared" si="14"/>
        <v>13.536512667660205</v>
      </c>
      <c r="AX25" s="552"/>
      <c r="AY25" s="552">
        <f t="shared" si="45"/>
        <v>-29.264301753481025</v>
      </c>
      <c r="AZ25" s="552">
        <f t="shared" si="46"/>
        <v>-28.003736491594278</v>
      </c>
      <c r="BA25" s="552">
        <f t="shared" si="47"/>
        <v>6.1598425070942264</v>
      </c>
      <c r="BB25" s="552">
        <f t="shared" si="48"/>
        <v>9.2020157104404134</v>
      </c>
      <c r="BC25" s="552"/>
      <c r="BD25" s="552">
        <f t="shared" si="49"/>
        <v>8.2223691574302435</v>
      </c>
      <c r="BE25" s="552">
        <f t="shared" si="50"/>
        <v>7.5700800741385299</v>
      </c>
      <c r="BF25" s="552">
        <f t="shared" si="51"/>
        <v>6.6543438077633965</v>
      </c>
      <c r="BG25" s="552">
        <f t="shared" si="52"/>
        <v>4.5698924731182977</v>
      </c>
      <c r="BH25" s="552"/>
      <c r="BI25" s="552">
        <f t="shared" si="53"/>
        <v>6.7885117493472702</v>
      </c>
      <c r="BJ25" s="552">
        <f t="shared" si="54"/>
        <v>5.4640069384215062</v>
      </c>
      <c r="BK25" s="552">
        <f t="shared" si="55"/>
        <v>2.512998266897748</v>
      </c>
      <c r="BL25" s="552">
        <f t="shared" si="56"/>
        <v>-1.28534704370179</v>
      </c>
      <c r="BM25" s="552"/>
      <c r="BN25" s="552">
        <f t="shared" si="57"/>
        <v>-3.9119804400978064</v>
      </c>
      <c r="BO25" s="552">
        <f t="shared" si="58"/>
        <v>0.16447368421050879</v>
      </c>
      <c r="BP25" s="552">
        <f t="shared" si="59"/>
        <v>6.4243448858833485</v>
      </c>
      <c r="BQ25" s="552">
        <f t="shared" si="60"/>
        <v>9.375</v>
      </c>
      <c r="BR25" s="552"/>
      <c r="BS25" s="552">
        <f t="shared" si="61"/>
        <v>7.2943172179813276</v>
      </c>
      <c r="BT25" s="552">
        <f t="shared" si="62"/>
        <v>5.0082101806239843</v>
      </c>
      <c r="BU25" s="552">
        <f t="shared" si="63"/>
        <v>4.3685464654487527</v>
      </c>
      <c r="BV25" s="552">
        <f t="shared" si="64"/>
        <v>6.507936507936507</v>
      </c>
      <c r="BW25" s="552"/>
      <c r="BX25" s="552">
        <f t="shared" si="65"/>
        <v>8.7747035573122467</v>
      </c>
      <c r="BY25" s="552">
        <f t="shared" si="66"/>
        <v>11.806098514464436</v>
      </c>
      <c r="BZ25" s="552">
        <f t="shared" si="67"/>
        <v>6.0121765601217625</v>
      </c>
      <c r="CA25" s="563">
        <f t="shared" si="68"/>
        <v>13.536512667660205</v>
      </c>
    </row>
    <row r="26" spans="1:113" ht="12" customHeight="1" x14ac:dyDescent="0.2">
      <c r="A26" s="546" t="s">
        <v>145</v>
      </c>
      <c r="B26" s="547"/>
      <c r="C26" s="547">
        <f t="shared" si="15"/>
        <v>3.5534562790390023</v>
      </c>
      <c r="D26" s="547">
        <f t="shared" si="16"/>
        <v>3.7228312403071895</v>
      </c>
      <c r="E26" s="547">
        <f t="shared" si="17"/>
        <v>1.6092133374834061</v>
      </c>
      <c r="F26" s="547">
        <f t="shared" si="18"/>
        <v>-4.5412796818474437</v>
      </c>
      <c r="G26" s="547">
        <f t="shared" si="19"/>
        <v>5.6205774725122337</v>
      </c>
      <c r="H26" s="547">
        <f t="shared" si="20"/>
        <v>-33.855619780835468</v>
      </c>
      <c r="I26" s="547">
        <f t="shared" si="21"/>
        <v>-2.0934819581930331</v>
      </c>
      <c r="J26" s="547">
        <f t="shared" si="69"/>
        <v>1.4084507042253502</v>
      </c>
      <c r="K26" s="547">
        <f t="shared" si="70"/>
        <v>13.690476190476186</v>
      </c>
      <c r="L26" s="547">
        <f t="shared" si="71"/>
        <v>5.2356020942408099</v>
      </c>
      <c r="M26" s="547">
        <f t="shared" si="72"/>
        <v>14.5107794361526</v>
      </c>
      <c r="N26" s="547">
        <f t="shared" si="73"/>
        <v>11.967559739319334</v>
      </c>
      <c r="O26" s="560"/>
      <c r="P26" s="560"/>
      <c r="Q26" s="560"/>
      <c r="R26" s="560"/>
      <c r="S26" s="560"/>
      <c r="T26" s="561">
        <f t="shared" si="22"/>
        <v>5.7992591766250712</v>
      </c>
      <c r="U26" s="562">
        <f t="shared" si="23"/>
        <v>3.4921021168655253</v>
      </c>
      <c r="V26" s="562">
        <f t="shared" si="24"/>
        <v>3.5534562790390023</v>
      </c>
      <c r="W26" s="560"/>
      <c r="X26" s="547">
        <f t="shared" si="25"/>
        <v>1.89758317059463</v>
      </c>
      <c r="Y26" s="547">
        <f t="shared" si="26"/>
        <v>3.7261947529161121</v>
      </c>
      <c r="Z26" s="547">
        <f t="shared" si="27"/>
        <v>2.9394325201689275</v>
      </c>
      <c r="AA26" s="547">
        <f t="shared" si="28"/>
        <v>3.7228312403071895</v>
      </c>
      <c r="AB26" s="547"/>
      <c r="AC26" s="547">
        <f t="shared" si="29"/>
        <v>5.8154763738519133</v>
      </c>
      <c r="AD26" s="547">
        <f t="shared" si="30"/>
        <v>4.0914964297743772</v>
      </c>
      <c r="AE26" s="547">
        <f t="shared" si="31"/>
        <v>3.2238197022488757</v>
      </c>
      <c r="AF26" s="547">
        <f t="shared" si="32"/>
        <v>1.6092133374834061</v>
      </c>
      <c r="AG26" s="547"/>
      <c r="AH26" s="547">
        <f t="shared" si="33"/>
        <v>-0.48848677479280678</v>
      </c>
      <c r="AI26" s="547">
        <f t="shared" si="34"/>
        <v>-2.4950822266640471</v>
      </c>
      <c r="AJ26" s="547">
        <f t="shared" si="35"/>
        <v>-5.6296104884401066</v>
      </c>
      <c r="AK26" s="547">
        <f t="shared" si="36"/>
        <v>-4.5412796818474437</v>
      </c>
      <c r="AL26" s="547"/>
      <c r="AM26" s="547">
        <f t="shared" si="37"/>
        <v>-2.3761908461411685</v>
      </c>
      <c r="AN26" s="547">
        <f t="shared" si="38"/>
        <v>1.6149686170354283</v>
      </c>
      <c r="AO26" s="547">
        <f t="shared" si="39"/>
        <v>6.3739273656439055</v>
      </c>
      <c r="AP26" s="552">
        <f t="shared" si="40"/>
        <v>5.6205774725122337</v>
      </c>
      <c r="AQ26" s="552"/>
      <c r="AR26" s="552">
        <f t="shared" si="41"/>
        <v>4.8422595876686403</v>
      </c>
      <c r="AS26" s="552">
        <f t="shared" si="42"/>
        <v>4.130193335607979</v>
      </c>
      <c r="AT26" s="552">
        <f t="shared" si="43"/>
        <v>-33.015045837293179</v>
      </c>
      <c r="AU26" s="552">
        <f t="shared" si="44"/>
        <v>-33.855619780835468</v>
      </c>
      <c r="AV26" s="552">
        <f t="shared" si="74"/>
        <v>14.5107794361526</v>
      </c>
      <c r="AW26" s="548">
        <f t="shared" si="14"/>
        <v>11.967559739319334</v>
      </c>
      <c r="AX26" s="552"/>
      <c r="AY26" s="552">
        <f t="shared" si="45"/>
        <v>-33.395348402676206</v>
      </c>
      <c r="AZ26" s="552">
        <f t="shared" si="46"/>
        <v>-33.667278702669876</v>
      </c>
      <c r="BA26" s="552">
        <f t="shared" si="47"/>
        <v>0.15063239061539058</v>
      </c>
      <c r="BB26" s="552">
        <f t="shared" si="48"/>
        <v>-2.0934819581930331</v>
      </c>
      <c r="BC26" s="552"/>
      <c r="BD26" s="552">
        <f t="shared" si="49"/>
        <v>-1.6950045444317996</v>
      </c>
      <c r="BE26" s="552">
        <f t="shared" si="50"/>
        <v>-0.69145518665999495</v>
      </c>
      <c r="BF26" s="552">
        <f t="shared" si="51"/>
        <v>1.4705882352941346</v>
      </c>
      <c r="BG26" s="552">
        <f t="shared" si="52"/>
        <v>1.4084507042253502</v>
      </c>
      <c r="BH26" s="552"/>
      <c r="BI26" s="552">
        <f t="shared" si="53"/>
        <v>1.6831683168316847</v>
      </c>
      <c r="BJ26" s="552">
        <f t="shared" si="54"/>
        <v>3.8197845249755114</v>
      </c>
      <c r="BK26" s="552">
        <f t="shared" si="55"/>
        <v>5.7971014492753659</v>
      </c>
      <c r="BL26" s="552">
        <f t="shared" si="56"/>
        <v>13.690476190476186</v>
      </c>
      <c r="BM26" s="552"/>
      <c r="BN26" s="552">
        <f t="shared" si="57"/>
        <v>13.534566699123651</v>
      </c>
      <c r="BO26" s="552">
        <f t="shared" si="58"/>
        <v>11.509433962264159</v>
      </c>
      <c r="BP26" s="552">
        <f t="shared" si="59"/>
        <v>7.488584474885851</v>
      </c>
      <c r="BQ26" s="552">
        <f t="shared" si="60"/>
        <v>5.2356020942408099</v>
      </c>
      <c r="BR26" s="552"/>
      <c r="BS26" s="552">
        <f t="shared" si="61"/>
        <v>6.0891938250428934</v>
      </c>
      <c r="BT26" s="552">
        <f t="shared" si="62"/>
        <v>7.9526226734348393</v>
      </c>
      <c r="BU26" s="552">
        <f t="shared" si="63"/>
        <v>14.61342395921832</v>
      </c>
      <c r="BV26" s="552">
        <f t="shared" si="64"/>
        <v>14.5107794361526</v>
      </c>
      <c r="BW26" s="552"/>
      <c r="BX26" s="552">
        <f t="shared" si="65"/>
        <v>11.96443007275667</v>
      </c>
      <c r="BY26" s="552">
        <f t="shared" si="66"/>
        <v>9.7962382445141003</v>
      </c>
      <c r="BZ26" s="552">
        <f t="shared" si="67"/>
        <v>10.452186805040785</v>
      </c>
      <c r="CA26" s="563">
        <f t="shared" si="68"/>
        <v>11.967559739319334</v>
      </c>
    </row>
    <row r="27" spans="1:113" s="177" customFormat="1" ht="13.2" x14ac:dyDescent="0.2">
      <c r="A27" s="553"/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  <c r="AF27" s="554"/>
      <c r="AG27" s="554"/>
      <c r="AH27" s="554"/>
      <c r="AI27" s="554"/>
      <c r="AJ27" s="554"/>
      <c r="AK27" s="554"/>
      <c r="AL27" s="554"/>
      <c r="AM27" s="554"/>
      <c r="AN27" s="554"/>
      <c r="AO27" s="554"/>
      <c r="AP27" s="554"/>
      <c r="AQ27" s="554"/>
      <c r="AR27" s="554"/>
      <c r="AS27" s="554"/>
      <c r="AT27" s="554"/>
      <c r="AU27" s="554"/>
      <c r="AV27" s="554"/>
      <c r="AW27" s="554"/>
      <c r="AX27" s="557"/>
      <c r="AY27" s="557"/>
      <c r="AZ27" s="557"/>
      <c r="BA27" s="557"/>
      <c r="BB27" s="557"/>
      <c r="BC27" s="557"/>
      <c r="BD27" s="557"/>
      <c r="BE27" s="557"/>
      <c r="BF27" s="557"/>
      <c r="BG27" s="557"/>
      <c r="BH27" s="557"/>
      <c r="BI27" s="837" t="s">
        <v>124</v>
      </c>
      <c r="BJ27" s="837"/>
      <c r="BK27" s="837"/>
      <c r="BL27" s="837"/>
      <c r="BM27" s="837"/>
      <c r="BN27" s="837"/>
      <c r="BO27" s="837"/>
      <c r="BP27" s="837"/>
      <c r="BQ27" s="837"/>
      <c r="BR27" s="837"/>
      <c r="BS27" s="837"/>
      <c r="BT27" s="837"/>
      <c r="BU27" s="569"/>
      <c r="BV27" s="569"/>
      <c r="BW27" s="569"/>
      <c r="BX27" s="569"/>
      <c r="BY27" s="569"/>
      <c r="BZ27" s="569"/>
      <c r="CA27" s="570"/>
      <c r="CB27" s="466"/>
      <c r="CC27" s="466"/>
      <c r="CD27" s="466"/>
      <c r="CE27" s="466"/>
      <c r="CF27" s="466"/>
      <c r="CG27" s="466"/>
      <c r="CH27" s="466"/>
      <c r="CI27" s="466"/>
      <c r="CJ27" s="466"/>
      <c r="CK27" s="466"/>
      <c r="CL27" s="466"/>
      <c r="CM27" s="466"/>
      <c r="CN27" s="466"/>
      <c r="CO27" s="466"/>
      <c r="CP27" s="466"/>
      <c r="CQ27" s="466"/>
      <c r="CR27" s="466"/>
      <c r="CS27" s="466"/>
      <c r="CT27" s="466"/>
      <c r="CU27" s="466"/>
      <c r="CV27" s="466"/>
      <c r="CW27" s="466"/>
      <c r="CX27" s="466"/>
      <c r="CY27" s="466"/>
      <c r="CZ27" s="466"/>
      <c r="DA27" s="466"/>
      <c r="DB27" s="466"/>
      <c r="DC27" s="466"/>
      <c r="DD27" s="466"/>
      <c r="DE27" s="466"/>
      <c r="DF27" s="466"/>
      <c r="DG27" s="466"/>
      <c r="DH27" s="466"/>
      <c r="DI27" s="467"/>
    </row>
    <row r="28" spans="1:113" s="177" customFormat="1" x14ac:dyDescent="0.2">
      <c r="A28" s="546" t="s">
        <v>94</v>
      </c>
      <c r="B28" s="547"/>
      <c r="C28" s="547"/>
      <c r="D28" s="547"/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60"/>
      <c r="P28" s="560">
        <f t="shared" ref="P28:Q37" si="75">(P6/O6-1)*100</f>
        <v>6.6146384890283239</v>
      </c>
      <c r="Q28" s="560">
        <f t="shared" si="75"/>
        <v>3.2117819549382087</v>
      </c>
      <c r="R28" s="564"/>
      <c r="S28" s="560">
        <f t="shared" ref="S28:S37" si="76">(S6/Q6-1)*100</f>
        <v>-0.27514308529237308</v>
      </c>
      <c r="T28" s="560">
        <f t="shared" ref="T28:V37" si="77">(T6/S6-1)*100</f>
        <v>1.690192075300545</v>
      </c>
      <c r="U28" s="560">
        <f t="shared" si="77"/>
        <v>2.6241134851118897</v>
      </c>
      <c r="V28" s="560">
        <f t="shared" si="77"/>
        <v>3.1367791537420198</v>
      </c>
      <c r="W28" s="565"/>
      <c r="X28" s="560">
        <f t="shared" ref="X28:X37" si="78">(X6/V6-1)*100</f>
        <v>3.3087304740632595</v>
      </c>
      <c r="Y28" s="560">
        <f t="shared" ref="Y28:AA37" si="79">(Y6/X6-1)*100</f>
        <v>-0.84775104472347707</v>
      </c>
      <c r="Z28" s="560">
        <f t="shared" si="79"/>
        <v>1.972315423296056</v>
      </c>
      <c r="AA28" s="560">
        <f t="shared" si="79"/>
        <v>-2.5167232907272852</v>
      </c>
      <c r="AB28" s="568"/>
      <c r="AC28" s="560">
        <f t="shared" ref="AC28:AC37" si="80">(AC6/AA6-1)*100</f>
        <v>2.1777252206171438</v>
      </c>
      <c r="AD28" s="560">
        <f t="shared" ref="AD28:AF37" si="81">(AD6/AC6-1)*100</f>
        <v>-4.2027785294036839</v>
      </c>
      <c r="AE28" s="560">
        <f t="shared" si="81"/>
        <v>6.9060975733036711</v>
      </c>
      <c r="AF28" s="560">
        <f t="shared" si="81"/>
        <v>1.6732199278663762</v>
      </c>
      <c r="AG28" s="568"/>
      <c r="AH28" s="560">
        <f t="shared" ref="AH28:AH37" si="82">(AH6/AF6-1)*100</f>
        <v>-4.0421981057279455</v>
      </c>
      <c r="AI28" s="560">
        <f t="shared" ref="AI28:AK37" si="83">(AI6/AH6-1)*100</f>
        <v>3.1433870005621367</v>
      </c>
      <c r="AJ28" s="560">
        <f t="shared" si="83"/>
        <v>-1.1103994652062021</v>
      </c>
      <c r="AK28" s="560">
        <f t="shared" si="83"/>
        <v>-1.0917152395442109</v>
      </c>
      <c r="AL28" s="568"/>
      <c r="AM28" s="560">
        <f t="shared" ref="AM28:AM37" si="84">(AM6/AK6-1)*100</f>
        <v>0.99737015873511137</v>
      </c>
      <c r="AN28" s="560">
        <f t="shared" ref="AN28:AP37" si="85">(AN6/AM6-1)*100</f>
        <v>1.1973545166242827</v>
      </c>
      <c r="AO28" s="560">
        <f t="shared" si="85"/>
        <v>-1.6481233391472672</v>
      </c>
      <c r="AP28" s="560">
        <f t="shared" si="85"/>
        <v>3.1289448413090559</v>
      </c>
      <c r="AQ28" s="568"/>
      <c r="AR28" s="560">
        <f t="shared" ref="AR28:AR37" si="86">(AR6/AP6-1)*100</f>
        <v>1.799651053916862</v>
      </c>
      <c r="AS28" s="560">
        <f t="shared" ref="AS28:AU37" si="87">(AS6/AR6-1)*100</f>
        <v>-0.12859024031499633</v>
      </c>
      <c r="AT28" s="560">
        <f t="shared" si="87"/>
        <v>-33.114601889888675</v>
      </c>
      <c r="AU28" s="560">
        <f t="shared" si="87"/>
        <v>-4.7565103568636413E-2</v>
      </c>
      <c r="AV28" s="560"/>
      <c r="AW28" s="560"/>
      <c r="AX28" s="568"/>
      <c r="AY28" s="571">
        <f t="shared" ref="AY28:AY37" si="88">(AY6/AU6-1)*100</f>
        <v>2.4350169850358983</v>
      </c>
      <c r="AZ28" s="571">
        <f t="shared" ref="AZ28:BB37" si="89">(AZ6/AY6-1)*100</f>
        <v>0.4820987978084057</v>
      </c>
      <c r="BA28" s="571">
        <f t="shared" si="89"/>
        <v>8.0999355671163009E-2</v>
      </c>
      <c r="BB28" s="571">
        <f t="shared" si="89"/>
        <v>0</v>
      </c>
      <c r="BC28" s="571"/>
      <c r="BD28" s="571">
        <f t="shared" ref="BD28:BD37" si="90">(BD6/BB6-1)*100</f>
        <v>2.3832221163012202</v>
      </c>
      <c r="BE28" s="571">
        <f t="shared" ref="BE28:BG37" si="91">(BE6/BD6-1)*100</f>
        <v>0.74487895716945918</v>
      </c>
      <c r="BF28" s="571">
        <f t="shared" si="91"/>
        <v>0.73937153419594281</v>
      </c>
      <c r="BG28" s="571">
        <f t="shared" si="91"/>
        <v>-0.82568807339449268</v>
      </c>
      <c r="BH28" s="571"/>
      <c r="BI28" s="571">
        <f t="shared" ref="BI28:BI37" si="92">(BI6/BG6-1)*100</f>
        <v>3.5152636447733698</v>
      </c>
      <c r="BJ28" s="571">
        <f t="shared" ref="BJ28:BL37" si="93">(BJ6/BI6-1)*100</f>
        <v>0.98302055406613853</v>
      </c>
      <c r="BK28" s="571">
        <f t="shared" si="93"/>
        <v>0.44247787610618428</v>
      </c>
      <c r="BL28" s="572">
        <f t="shared" si="93"/>
        <v>1.2334801762114544</v>
      </c>
      <c r="BM28" s="572"/>
      <c r="BN28" s="572">
        <f t="shared" ref="BN28:BN37" si="94">(BN6/BL6-1)*100</f>
        <v>2.0017406440382857</v>
      </c>
      <c r="BO28" s="572">
        <f t="shared" ref="BO28:BQ37" si="95">(BO6/BN6-1)*100</f>
        <v>2.2184300341296925</v>
      </c>
      <c r="BP28" s="572">
        <f t="shared" si="95"/>
        <v>1.4190317195325708</v>
      </c>
      <c r="BQ28" s="572">
        <f t="shared" si="95"/>
        <v>1.3168724279835287</v>
      </c>
      <c r="BR28" s="572"/>
      <c r="BS28" s="572">
        <f t="shared" ref="BS28:BS37" si="96">(BS6/BQ6-1)*100</f>
        <v>1.5434606011372809</v>
      </c>
      <c r="BT28" s="572">
        <f t="shared" ref="BT28:BT37" si="97">(BT6/BS6-1)*100</f>
        <v>2.1600000000000064</v>
      </c>
      <c r="BU28" s="572">
        <f t="shared" ref="BU28:BV37" si="98">(BU6/BT6-1)*100</f>
        <v>4.3852779953014842</v>
      </c>
      <c r="BV28" s="572">
        <f t="shared" si="98"/>
        <v>2.250562640660192</v>
      </c>
      <c r="BW28" s="572"/>
      <c r="BX28" s="572">
        <f t="shared" ref="BX28:BX37" si="99">(BX6/BV6-1)*100</f>
        <v>1.3206162876008731</v>
      </c>
      <c r="BY28" s="572">
        <f>(BY6/BX6-1)*100</f>
        <v>2.3895727733526329</v>
      </c>
      <c r="BZ28" s="572">
        <f>(BZ6/BY6-1)*100</f>
        <v>2.2630834512022524</v>
      </c>
      <c r="CA28" s="573">
        <f>(CA6/BZ6-1)*100</f>
        <v>5.5643153526971023</v>
      </c>
    </row>
    <row r="29" spans="1:113" s="177" customFormat="1" x14ac:dyDescent="0.2">
      <c r="A29" s="551" t="s">
        <v>126</v>
      </c>
      <c r="B29" s="547"/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60"/>
      <c r="P29" s="560">
        <f t="shared" si="75"/>
        <v>3.0651317012531543</v>
      </c>
      <c r="Q29" s="560">
        <f t="shared" si="75"/>
        <v>3.1591302581518654</v>
      </c>
      <c r="R29" s="564"/>
      <c r="S29" s="560">
        <f t="shared" si="76"/>
        <v>-1.6878787564436171</v>
      </c>
      <c r="T29" s="560">
        <f t="shared" si="77"/>
        <v>0.51684509631158004</v>
      </c>
      <c r="U29" s="560">
        <f t="shared" si="77"/>
        <v>3.4749970388389562</v>
      </c>
      <c r="V29" s="560">
        <f t="shared" si="77"/>
        <v>6.1557516610864393</v>
      </c>
      <c r="W29" s="565"/>
      <c r="X29" s="560">
        <f t="shared" si="78"/>
        <v>5.3948003256983679</v>
      </c>
      <c r="Y29" s="560">
        <f t="shared" si="79"/>
        <v>-1.9966296500992575</v>
      </c>
      <c r="Z29" s="560">
        <f t="shared" si="79"/>
        <v>3.2195752780823428</v>
      </c>
      <c r="AA29" s="560">
        <f t="shared" si="79"/>
        <v>-6.1695513556995767</v>
      </c>
      <c r="AB29" s="568"/>
      <c r="AC29" s="560">
        <f t="shared" si="80"/>
        <v>1.8252120610023903</v>
      </c>
      <c r="AD29" s="560">
        <f t="shared" si="81"/>
        <v>-8.1074856893853955</v>
      </c>
      <c r="AE29" s="560">
        <f t="shared" si="81"/>
        <v>8.8954572520500328</v>
      </c>
      <c r="AF29" s="560">
        <f t="shared" si="81"/>
        <v>2.2490085200147059</v>
      </c>
      <c r="AG29" s="568"/>
      <c r="AH29" s="560">
        <f t="shared" si="82"/>
        <v>-8.7668868213954809</v>
      </c>
      <c r="AI29" s="560">
        <f t="shared" si="83"/>
        <v>8.961323700933832</v>
      </c>
      <c r="AJ29" s="560">
        <f t="shared" si="83"/>
        <v>-2.4290095148058799</v>
      </c>
      <c r="AK29" s="560">
        <f t="shared" si="83"/>
        <v>-2.2762664876639582</v>
      </c>
      <c r="AL29" s="568"/>
      <c r="AM29" s="560">
        <f t="shared" si="84"/>
        <v>2.1674758491007085</v>
      </c>
      <c r="AN29" s="560">
        <f t="shared" si="85"/>
        <v>2.7927526711225337</v>
      </c>
      <c r="AO29" s="560">
        <f t="shared" si="85"/>
        <v>-4.0254834824364982</v>
      </c>
      <c r="AP29" s="560">
        <f t="shared" si="85"/>
        <v>6.7550179026176771</v>
      </c>
      <c r="AQ29" s="568"/>
      <c r="AR29" s="560">
        <f t="shared" si="86"/>
        <v>4.081725596275021</v>
      </c>
      <c r="AS29" s="560">
        <f t="shared" si="87"/>
        <v>-0.77378242964390997</v>
      </c>
      <c r="AT29" s="560">
        <f t="shared" si="87"/>
        <v>-38.19799863896948</v>
      </c>
      <c r="AU29" s="560">
        <f t="shared" si="87"/>
        <v>-3.3003897007022331E-2</v>
      </c>
      <c r="AV29" s="560"/>
      <c r="AW29" s="560"/>
      <c r="AX29" s="568"/>
      <c r="AY29" s="571">
        <f t="shared" si="88"/>
        <v>1.8975777592626475</v>
      </c>
      <c r="AZ29" s="571">
        <f t="shared" si="89"/>
        <v>0.72506738720157227</v>
      </c>
      <c r="BA29" s="571">
        <f t="shared" si="89"/>
        <v>0.54942479010744449</v>
      </c>
      <c r="BB29" s="571">
        <f t="shared" si="89"/>
        <v>1.0018214936247993</v>
      </c>
      <c r="BC29" s="571"/>
      <c r="BD29" s="571">
        <f t="shared" si="90"/>
        <v>3.8773669972948399</v>
      </c>
      <c r="BE29" s="571">
        <f t="shared" si="91"/>
        <v>-0.69444444444444198</v>
      </c>
      <c r="BF29" s="571">
        <f t="shared" si="91"/>
        <v>4.7202797202797298</v>
      </c>
      <c r="BG29" s="571">
        <f t="shared" si="91"/>
        <v>-1.7529215358931705</v>
      </c>
      <c r="BH29" s="571"/>
      <c r="BI29" s="571">
        <f t="shared" si="92"/>
        <v>4.1631265930331285</v>
      </c>
      <c r="BJ29" s="571">
        <f t="shared" si="93"/>
        <v>0.65252854812398731</v>
      </c>
      <c r="BK29" s="571">
        <f t="shared" si="93"/>
        <v>-1.5397082658022643</v>
      </c>
      <c r="BL29" s="572">
        <f t="shared" si="93"/>
        <v>-1.0699588477366184</v>
      </c>
      <c r="BM29" s="572"/>
      <c r="BN29" s="572">
        <f t="shared" si="94"/>
        <v>8.3194675540765317E-2</v>
      </c>
      <c r="BO29" s="572">
        <f t="shared" si="95"/>
        <v>2.1612635078969156</v>
      </c>
      <c r="BP29" s="572">
        <f t="shared" si="95"/>
        <v>0.32546786004881145</v>
      </c>
      <c r="BQ29" s="572">
        <f t="shared" si="95"/>
        <v>0.72992700729925808</v>
      </c>
      <c r="BR29" s="572"/>
      <c r="BS29" s="572">
        <f t="shared" si="96"/>
        <v>3.5426731078904927</v>
      </c>
      <c r="BT29" s="572">
        <f t="shared" si="97"/>
        <v>3.5769828926905278</v>
      </c>
      <c r="BU29" s="572">
        <f t="shared" si="98"/>
        <v>6.9069069069069178</v>
      </c>
      <c r="BV29" s="572">
        <f t="shared" si="98"/>
        <v>4.2837078651685179</v>
      </c>
      <c r="BW29" s="572"/>
      <c r="BX29" s="572">
        <f t="shared" si="99"/>
        <v>3.2323232323232309</v>
      </c>
      <c r="BY29" s="572">
        <f t="shared" ref="BY29:CA37" si="100">(BY7/BX7-1)*100</f>
        <v>3.2615786040443684</v>
      </c>
      <c r="BZ29" s="572">
        <f t="shared" si="100"/>
        <v>0.94756790903345323</v>
      </c>
      <c r="CA29" s="573">
        <f t="shared" si="100"/>
        <v>8.9034418022528214</v>
      </c>
    </row>
    <row r="30" spans="1:113" s="177" customFormat="1" x14ac:dyDescent="0.2">
      <c r="A30" s="551" t="s">
        <v>127</v>
      </c>
      <c r="B30" s="547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60"/>
      <c r="P30" s="560">
        <f t="shared" si="75"/>
        <v>17.7376996516196</v>
      </c>
      <c r="Q30" s="560">
        <f t="shared" si="75"/>
        <v>7.7318820849733516</v>
      </c>
      <c r="R30" s="564"/>
      <c r="S30" s="560">
        <f t="shared" si="76"/>
        <v>2.4634668958376515</v>
      </c>
      <c r="T30" s="560">
        <f t="shared" si="77"/>
        <v>2.2823519272545889</v>
      </c>
      <c r="U30" s="560">
        <f t="shared" si="77"/>
        <v>3.2400126478025593</v>
      </c>
      <c r="V30" s="560">
        <f t="shared" si="77"/>
        <v>-0.26841830401657107</v>
      </c>
      <c r="W30" s="565"/>
      <c r="X30" s="560">
        <f t="shared" si="78"/>
        <v>9.8085939541009637</v>
      </c>
      <c r="Y30" s="560">
        <f t="shared" si="79"/>
        <v>-0.53038884209818393</v>
      </c>
      <c r="Z30" s="560">
        <f t="shared" si="79"/>
        <v>2.5060130591327834</v>
      </c>
      <c r="AA30" s="560">
        <f t="shared" si="79"/>
        <v>0.61181277400856882</v>
      </c>
      <c r="AB30" s="568"/>
      <c r="AC30" s="560">
        <f t="shared" si="80"/>
        <v>-2.3827338334653114</v>
      </c>
      <c r="AD30" s="560">
        <f t="shared" si="81"/>
        <v>1.2031922940504813</v>
      </c>
      <c r="AE30" s="560">
        <f t="shared" si="81"/>
        <v>8.249002617246548</v>
      </c>
      <c r="AF30" s="560">
        <f t="shared" si="81"/>
        <v>2.4900982437110475</v>
      </c>
      <c r="AG30" s="568"/>
      <c r="AH30" s="560">
        <f t="shared" si="82"/>
        <v>-4.44631554763808</v>
      </c>
      <c r="AI30" s="560">
        <f t="shared" si="83"/>
        <v>-1.0218325505713555</v>
      </c>
      <c r="AJ30" s="560">
        <f t="shared" si="83"/>
        <v>-0.73116340734333818</v>
      </c>
      <c r="AK30" s="560">
        <f t="shared" si="83"/>
        <v>0.29403627813222588</v>
      </c>
      <c r="AL30" s="568"/>
      <c r="AM30" s="560">
        <f t="shared" si="84"/>
        <v>-2.1547573358885797</v>
      </c>
      <c r="AN30" s="560">
        <f t="shared" si="85"/>
        <v>0.58142968510319637</v>
      </c>
      <c r="AO30" s="560">
        <f t="shared" si="85"/>
        <v>1.2815028846101084</v>
      </c>
      <c r="AP30" s="560">
        <f t="shared" si="85"/>
        <v>0.89325833072615435</v>
      </c>
      <c r="AQ30" s="568"/>
      <c r="AR30" s="560">
        <f t="shared" si="86"/>
        <v>0.74555598152523661</v>
      </c>
      <c r="AS30" s="560">
        <f t="shared" si="87"/>
        <v>2.2643771993080986</v>
      </c>
      <c r="AT30" s="560">
        <f t="shared" si="87"/>
        <v>-21.998496547170497</v>
      </c>
      <c r="AU30" s="560">
        <f t="shared" si="87"/>
        <v>-0.20050711067618465</v>
      </c>
      <c r="AV30" s="560"/>
      <c r="AW30" s="560"/>
      <c r="AX30" s="568"/>
      <c r="AY30" s="571">
        <f t="shared" si="88"/>
        <v>2.2620200067185792</v>
      </c>
      <c r="AZ30" s="571">
        <f t="shared" si="89"/>
        <v>-8.106884684626614E-2</v>
      </c>
      <c r="BA30" s="571">
        <f t="shared" si="89"/>
        <v>-1.1933984413584175</v>
      </c>
      <c r="BB30" s="571">
        <f t="shared" si="89"/>
        <v>-0.393700787401563</v>
      </c>
      <c r="BC30" s="571"/>
      <c r="BD30" s="571">
        <f t="shared" si="90"/>
        <v>4.743083003952564</v>
      </c>
      <c r="BE30" s="571">
        <f t="shared" si="91"/>
        <v>-1.5094339622641395</v>
      </c>
      <c r="BF30" s="571">
        <f t="shared" si="91"/>
        <v>-5.2681992337164862</v>
      </c>
      <c r="BG30" s="571">
        <f t="shared" si="91"/>
        <v>6.0667340748230547</v>
      </c>
      <c r="BH30" s="571"/>
      <c r="BI30" s="571">
        <f t="shared" si="92"/>
        <v>2.0972354623450817</v>
      </c>
      <c r="BJ30" s="571">
        <f t="shared" si="93"/>
        <v>3.2679738562091609</v>
      </c>
      <c r="BK30" s="571">
        <f t="shared" si="93"/>
        <v>1.8083182640144635</v>
      </c>
      <c r="BL30" s="572">
        <f t="shared" si="93"/>
        <v>1.243339253996445</v>
      </c>
      <c r="BM30" s="572"/>
      <c r="BN30" s="572">
        <f t="shared" si="94"/>
        <v>0.70175438596491446</v>
      </c>
      <c r="BO30" s="572">
        <f t="shared" si="95"/>
        <v>1.0452961672474004</v>
      </c>
      <c r="BP30" s="572">
        <f t="shared" si="95"/>
        <v>-0.51724137931032921</v>
      </c>
      <c r="BQ30" s="572">
        <f t="shared" si="95"/>
        <v>0.34662045060658286</v>
      </c>
      <c r="BR30" s="572"/>
      <c r="BS30" s="572">
        <f t="shared" si="96"/>
        <v>0.86355785837650689</v>
      </c>
      <c r="BT30" s="572">
        <f t="shared" si="97"/>
        <v>2.3972602739726012</v>
      </c>
      <c r="BU30" s="572">
        <f t="shared" si="98"/>
        <v>2.4247491638796026</v>
      </c>
      <c r="BV30" s="572">
        <f t="shared" si="98"/>
        <v>0.32653061224492408</v>
      </c>
      <c r="BW30" s="572"/>
      <c r="BX30" s="572">
        <f t="shared" si="99"/>
        <v>0.97640358014645656</v>
      </c>
      <c r="BY30" s="572">
        <f t="shared" si="100"/>
        <v>-2.3368251410153085</v>
      </c>
      <c r="BZ30" s="572">
        <f t="shared" si="100"/>
        <v>3.4653465346534906</v>
      </c>
      <c r="CA30" s="573">
        <f t="shared" si="100"/>
        <v>-2.0498405103668405</v>
      </c>
    </row>
    <row r="31" spans="1:113" s="177" customFormat="1" x14ac:dyDescent="0.2">
      <c r="A31" s="551" t="s">
        <v>128</v>
      </c>
      <c r="B31" s="547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60"/>
      <c r="P31" s="560">
        <f t="shared" si="75"/>
        <v>-1.1198640544048066</v>
      </c>
      <c r="Q31" s="560">
        <f t="shared" si="75"/>
        <v>6.2289054844758551</v>
      </c>
      <c r="R31" s="564"/>
      <c r="S31" s="560">
        <f t="shared" si="76"/>
        <v>-1.7939714840310095</v>
      </c>
      <c r="T31" s="560">
        <f t="shared" si="77"/>
        <v>8.9514493995594755</v>
      </c>
      <c r="U31" s="560">
        <f t="shared" si="77"/>
        <v>1.0897095937976609</v>
      </c>
      <c r="V31" s="560">
        <f t="shared" si="77"/>
        <v>0.42775877522636119</v>
      </c>
      <c r="W31" s="565"/>
      <c r="X31" s="560">
        <f t="shared" si="78"/>
        <v>-1.3860319267703147</v>
      </c>
      <c r="Y31" s="560">
        <f t="shared" si="79"/>
        <v>-2.2010254757099501</v>
      </c>
      <c r="Z31" s="560">
        <f t="shared" si="79"/>
        <v>3.7875819704618285</v>
      </c>
      <c r="AA31" s="560">
        <f t="shared" si="79"/>
        <v>2.1988118977914972</v>
      </c>
      <c r="AB31" s="568"/>
      <c r="AC31" s="560">
        <f t="shared" si="80"/>
        <v>0.83390281332160754</v>
      </c>
      <c r="AD31" s="560">
        <f t="shared" si="81"/>
        <v>0.36735789212651859</v>
      </c>
      <c r="AE31" s="560">
        <f t="shared" si="81"/>
        <v>9.6134830502922384</v>
      </c>
      <c r="AF31" s="560">
        <f t="shared" si="81"/>
        <v>1.7449021707187429</v>
      </c>
      <c r="AG31" s="568"/>
      <c r="AH31" s="560">
        <f t="shared" si="82"/>
        <v>2.6927506240193466</v>
      </c>
      <c r="AI31" s="560">
        <f t="shared" si="83"/>
        <v>1.6026805113723785</v>
      </c>
      <c r="AJ31" s="560">
        <f t="shared" si="83"/>
        <v>0.39167984035837211</v>
      </c>
      <c r="AK31" s="560">
        <f t="shared" si="83"/>
        <v>0.17516355878739454</v>
      </c>
      <c r="AL31" s="568"/>
      <c r="AM31" s="560">
        <f t="shared" si="84"/>
        <v>-1.415428084034831</v>
      </c>
      <c r="AN31" s="560">
        <f t="shared" si="85"/>
        <v>1.119119909770494</v>
      </c>
      <c r="AO31" s="560">
        <f t="shared" si="85"/>
        <v>0.16600370716020052</v>
      </c>
      <c r="AP31" s="560">
        <f t="shared" si="85"/>
        <v>-0.79914327285088849</v>
      </c>
      <c r="AQ31" s="568"/>
      <c r="AR31" s="560">
        <f t="shared" si="86"/>
        <v>-0.11343493154741813</v>
      </c>
      <c r="AS31" s="560">
        <f t="shared" si="87"/>
        <v>0.54590676720156495</v>
      </c>
      <c r="AT31" s="560">
        <f t="shared" si="87"/>
        <v>-28.39064783654921</v>
      </c>
      <c r="AU31" s="560">
        <f t="shared" si="87"/>
        <v>-0.59251279825059955</v>
      </c>
      <c r="AV31" s="560"/>
      <c r="AW31" s="560"/>
      <c r="AX31" s="568"/>
      <c r="AY31" s="571">
        <f t="shared" si="88"/>
        <v>2.5937241529181865</v>
      </c>
      <c r="AZ31" s="571">
        <f t="shared" si="89"/>
        <v>0.30751245597326893</v>
      </c>
      <c r="BA31" s="571">
        <f t="shared" si="89"/>
        <v>-0.80717981713389619</v>
      </c>
      <c r="BB31" s="571">
        <f t="shared" si="89"/>
        <v>-2.6946107784431073</v>
      </c>
      <c r="BC31" s="571"/>
      <c r="BD31" s="571">
        <f t="shared" si="90"/>
        <v>6.7692307692307496</v>
      </c>
      <c r="BE31" s="571">
        <f t="shared" si="91"/>
        <v>-2.4015369836695388</v>
      </c>
      <c r="BF31" s="571">
        <f t="shared" si="91"/>
        <v>0.68897637795275468</v>
      </c>
      <c r="BG31" s="571">
        <f t="shared" si="91"/>
        <v>0.3910068426197455</v>
      </c>
      <c r="BH31" s="571"/>
      <c r="BI31" s="571">
        <f t="shared" si="92"/>
        <v>0.87633885102240683</v>
      </c>
      <c r="BJ31" s="571">
        <f t="shared" si="93"/>
        <v>2.7027027027026973</v>
      </c>
      <c r="BK31" s="571">
        <f t="shared" si="93"/>
        <v>0.1879699248120037</v>
      </c>
      <c r="BL31" s="572">
        <f t="shared" si="93"/>
        <v>1.9699812382739434</v>
      </c>
      <c r="BM31" s="572"/>
      <c r="BN31" s="572">
        <f t="shared" si="94"/>
        <v>2.7598896044158217</v>
      </c>
      <c r="BO31" s="572">
        <f t="shared" si="95"/>
        <v>-8.9525514771737758E-2</v>
      </c>
      <c r="BP31" s="572">
        <f t="shared" si="95"/>
        <v>2.1505376344086224</v>
      </c>
      <c r="BQ31" s="572">
        <f t="shared" si="95"/>
        <v>1.0526315789473717</v>
      </c>
      <c r="BR31" s="572"/>
      <c r="BS31" s="572">
        <f t="shared" si="96"/>
        <v>-0.34722222222223209</v>
      </c>
      <c r="BT31" s="572">
        <f t="shared" si="97"/>
        <v>1.5679442508710784</v>
      </c>
      <c r="BU31" s="572">
        <f t="shared" si="98"/>
        <v>4.9742710120068701</v>
      </c>
      <c r="BV31" s="572">
        <f t="shared" si="98"/>
        <v>0.98039215686274161</v>
      </c>
      <c r="BW31" s="572"/>
      <c r="BX31" s="572">
        <f t="shared" si="99"/>
        <v>1.2135922330097193</v>
      </c>
      <c r="BY31" s="572">
        <f t="shared" si="100"/>
        <v>2.7178257394084859</v>
      </c>
      <c r="BZ31" s="572">
        <f t="shared" si="100"/>
        <v>2.8015564202334531</v>
      </c>
      <c r="CA31" s="573">
        <f t="shared" si="100"/>
        <v>3.9364118092354294</v>
      </c>
    </row>
    <row r="32" spans="1:113" s="177" customFormat="1" x14ac:dyDescent="0.2">
      <c r="A32" s="551" t="s">
        <v>129</v>
      </c>
      <c r="B32" s="547"/>
      <c r="C32" s="547"/>
      <c r="D32" s="547"/>
      <c r="E32" s="547"/>
      <c r="F32" s="547"/>
      <c r="G32" s="547"/>
      <c r="H32" s="547"/>
      <c r="I32" s="547"/>
      <c r="J32" s="547"/>
      <c r="K32" s="547"/>
      <c r="L32" s="547"/>
      <c r="M32" s="547"/>
      <c r="N32" s="547"/>
      <c r="O32" s="560"/>
      <c r="P32" s="560">
        <f t="shared" si="75"/>
        <v>-5.0199905163927028</v>
      </c>
      <c r="Q32" s="560">
        <f t="shared" si="75"/>
        <v>4.3726181263765929</v>
      </c>
      <c r="R32" s="564"/>
      <c r="S32" s="560">
        <f t="shared" si="76"/>
        <v>-4.1404157912932282</v>
      </c>
      <c r="T32" s="560">
        <f t="shared" si="77"/>
        <v>1.6619100828812128</v>
      </c>
      <c r="U32" s="560">
        <f t="shared" si="77"/>
        <v>1.6022806407511858</v>
      </c>
      <c r="V32" s="560">
        <f t="shared" si="77"/>
        <v>2.0699803820595664</v>
      </c>
      <c r="W32" s="565"/>
      <c r="X32" s="560">
        <f t="shared" si="78"/>
        <v>-2.7608585792779028</v>
      </c>
      <c r="Y32" s="560">
        <f t="shared" si="79"/>
        <v>-1.456421967790178</v>
      </c>
      <c r="Z32" s="560">
        <f t="shared" si="79"/>
        <v>-2.4073981383726739</v>
      </c>
      <c r="AA32" s="560">
        <f t="shared" si="79"/>
        <v>2.9562450866142287</v>
      </c>
      <c r="AB32" s="568"/>
      <c r="AC32" s="560">
        <f t="shared" si="80"/>
        <v>2.024386090409469</v>
      </c>
      <c r="AD32" s="560">
        <f t="shared" si="81"/>
        <v>1.050180682212809</v>
      </c>
      <c r="AE32" s="560">
        <f t="shared" si="81"/>
        <v>-1.8007515796026108</v>
      </c>
      <c r="AF32" s="560">
        <f t="shared" si="81"/>
        <v>1.7955891330439622</v>
      </c>
      <c r="AG32" s="568"/>
      <c r="AH32" s="560">
        <f t="shared" si="82"/>
        <v>-2.5093345540525558</v>
      </c>
      <c r="AI32" s="560">
        <f t="shared" si="83"/>
        <v>-4.5573925577868106</v>
      </c>
      <c r="AJ32" s="560">
        <f t="shared" si="83"/>
        <v>-1.4975967364746601</v>
      </c>
      <c r="AK32" s="560">
        <f t="shared" si="83"/>
        <v>-0.76748116660450005</v>
      </c>
      <c r="AL32" s="568"/>
      <c r="AM32" s="560">
        <f t="shared" si="84"/>
        <v>1.9041834894399701</v>
      </c>
      <c r="AN32" s="560">
        <f t="shared" si="85"/>
        <v>5.0392158268230958E-2</v>
      </c>
      <c r="AO32" s="560">
        <f t="shared" si="85"/>
        <v>0.31843685971923996</v>
      </c>
      <c r="AP32" s="560">
        <f t="shared" si="85"/>
        <v>2.764030094252945</v>
      </c>
      <c r="AQ32" s="568"/>
      <c r="AR32" s="560">
        <f t="shared" si="86"/>
        <v>1.0188105798470293</v>
      </c>
      <c r="AS32" s="560">
        <f t="shared" si="87"/>
        <v>1.4346798186637866</v>
      </c>
      <c r="AT32" s="560">
        <f t="shared" si="87"/>
        <v>-28.880318931182391</v>
      </c>
      <c r="AU32" s="560">
        <f t="shared" si="87"/>
        <v>0.47943251757773808</v>
      </c>
      <c r="AV32" s="560"/>
      <c r="AW32" s="560"/>
      <c r="AX32" s="568"/>
      <c r="AY32" s="571">
        <f t="shared" si="88"/>
        <v>2.431208031760046</v>
      </c>
      <c r="AZ32" s="571">
        <f t="shared" si="89"/>
        <v>0.11203152463481469</v>
      </c>
      <c r="BA32" s="571">
        <f t="shared" si="89"/>
        <v>0.74827439407390006</v>
      </c>
      <c r="BB32" s="571">
        <f t="shared" si="89"/>
        <v>-3.8385826771653475</v>
      </c>
      <c r="BC32" s="571"/>
      <c r="BD32" s="571">
        <f t="shared" si="90"/>
        <v>-1.7400204708290623</v>
      </c>
      <c r="BE32" s="571">
        <f t="shared" si="91"/>
        <v>9.2708333333333393</v>
      </c>
      <c r="BF32" s="571">
        <f t="shared" si="91"/>
        <v>-5.4337464251668415</v>
      </c>
      <c r="BG32" s="571">
        <f t="shared" si="91"/>
        <v>-0.90725806451613655</v>
      </c>
      <c r="BH32" s="571"/>
      <c r="BI32" s="571">
        <f t="shared" si="92"/>
        <v>0.81383519837234797</v>
      </c>
      <c r="BJ32" s="571">
        <f t="shared" si="93"/>
        <v>5.5499495459132131</v>
      </c>
      <c r="BK32" s="571">
        <f t="shared" si="93"/>
        <v>1.2428298279158811</v>
      </c>
      <c r="BL32" s="572">
        <f t="shared" si="93"/>
        <v>1.888574126534448</v>
      </c>
      <c r="BM32" s="572"/>
      <c r="BN32" s="572">
        <f t="shared" si="94"/>
        <v>-9.26784059314123E-2</v>
      </c>
      <c r="BO32" s="572">
        <f t="shared" si="95"/>
        <v>0.64935064935065512</v>
      </c>
      <c r="BP32" s="572">
        <f t="shared" si="95"/>
        <v>-9.2165898617524444E-2</v>
      </c>
      <c r="BQ32" s="572">
        <f t="shared" si="95"/>
        <v>0.18450184501845879</v>
      </c>
      <c r="BR32" s="572"/>
      <c r="BS32" s="572">
        <f t="shared" si="96"/>
        <v>0.36832412523020164</v>
      </c>
      <c r="BT32" s="572">
        <f t="shared" si="97"/>
        <v>1.192660550458724</v>
      </c>
      <c r="BU32" s="572">
        <f t="shared" si="98"/>
        <v>1.3599274705349051</v>
      </c>
      <c r="BV32" s="572">
        <f t="shared" si="98"/>
        <v>0.35778175313059268</v>
      </c>
      <c r="BW32" s="572"/>
      <c r="BX32" s="572">
        <f t="shared" si="99"/>
        <v>1.6934046345810971</v>
      </c>
      <c r="BY32" s="572">
        <f t="shared" si="100"/>
        <v>8.7642418930777843E-2</v>
      </c>
      <c r="BZ32" s="572">
        <f t="shared" si="100"/>
        <v>15.936952714535902</v>
      </c>
      <c r="CA32" s="573">
        <f t="shared" si="100"/>
        <v>1.5336858006042231</v>
      </c>
    </row>
    <row r="33" spans="1:80" s="177" customFormat="1" x14ac:dyDescent="0.2">
      <c r="A33" s="551" t="s">
        <v>130</v>
      </c>
      <c r="B33" s="547"/>
      <c r="C33" s="547"/>
      <c r="D33" s="547"/>
      <c r="E33" s="547"/>
      <c r="F33" s="547"/>
      <c r="G33" s="547"/>
      <c r="H33" s="547"/>
      <c r="I33" s="547"/>
      <c r="J33" s="547"/>
      <c r="K33" s="547"/>
      <c r="L33" s="547"/>
      <c r="M33" s="547"/>
      <c r="N33" s="547"/>
      <c r="O33" s="560"/>
      <c r="P33" s="560">
        <f t="shared" si="75"/>
        <v>2.9756718460735243</v>
      </c>
      <c r="Q33" s="560">
        <f t="shared" si="75"/>
        <v>5.6657625287258817</v>
      </c>
      <c r="R33" s="564"/>
      <c r="S33" s="560">
        <f t="shared" si="76"/>
        <v>-5.6045210247753996</v>
      </c>
      <c r="T33" s="560">
        <f t="shared" si="77"/>
        <v>6.0975070715847401</v>
      </c>
      <c r="U33" s="560">
        <f t="shared" si="77"/>
        <v>0.44740554121198706</v>
      </c>
      <c r="V33" s="560">
        <f t="shared" si="77"/>
        <v>0.4800986278794106</v>
      </c>
      <c r="W33" s="565"/>
      <c r="X33" s="560">
        <f t="shared" si="78"/>
        <v>0.47599294367937084</v>
      </c>
      <c r="Y33" s="560">
        <f t="shared" si="79"/>
        <v>0.89307526260526959</v>
      </c>
      <c r="Z33" s="560">
        <f t="shared" si="79"/>
        <v>1.2824565004128541</v>
      </c>
      <c r="AA33" s="560">
        <f t="shared" si="79"/>
        <v>1.3016016752050774</v>
      </c>
      <c r="AB33" s="568"/>
      <c r="AC33" s="560">
        <f t="shared" si="80"/>
        <v>2.9981303754707866</v>
      </c>
      <c r="AD33" s="560">
        <f t="shared" si="81"/>
        <v>-1.4246556620935547</v>
      </c>
      <c r="AE33" s="560">
        <f t="shared" si="81"/>
        <v>4.3233898924732728E-2</v>
      </c>
      <c r="AF33" s="560">
        <f t="shared" si="81"/>
        <v>-1.3403057505415261</v>
      </c>
      <c r="AG33" s="568"/>
      <c r="AH33" s="560">
        <f t="shared" si="82"/>
        <v>0.3230629070561708</v>
      </c>
      <c r="AI33" s="560">
        <f t="shared" si="83"/>
        <v>-1.5234186755315848</v>
      </c>
      <c r="AJ33" s="560">
        <f t="shared" si="83"/>
        <v>0.78079410383693482</v>
      </c>
      <c r="AK33" s="560">
        <f t="shared" si="83"/>
        <v>-7.852778071727462E-2</v>
      </c>
      <c r="AL33" s="568"/>
      <c r="AM33" s="560">
        <f t="shared" si="84"/>
        <v>-0.85794649345581897</v>
      </c>
      <c r="AN33" s="560">
        <f t="shared" si="85"/>
        <v>0.90325605585459545</v>
      </c>
      <c r="AO33" s="560">
        <f t="shared" si="85"/>
        <v>1.2001513887042847</v>
      </c>
      <c r="AP33" s="560">
        <f t="shared" si="85"/>
        <v>0.45680864188191173</v>
      </c>
      <c r="AQ33" s="568"/>
      <c r="AR33" s="560">
        <f t="shared" si="86"/>
        <v>-0.9727229931399739</v>
      </c>
      <c r="AS33" s="560">
        <f t="shared" si="87"/>
        <v>-0.90950302316691323</v>
      </c>
      <c r="AT33" s="560">
        <f t="shared" si="87"/>
        <v>-26.81590138601646</v>
      </c>
      <c r="AU33" s="560">
        <f t="shared" si="87"/>
        <v>0.29247002244756626</v>
      </c>
      <c r="AV33" s="560"/>
      <c r="AW33" s="560"/>
      <c r="AX33" s="568"/>
      <c r="AY33" s="571">
        <f t="shared" si="88"/>
        <v>2.5490670669582549</v>
      </c>
      <c r="AZ33" s="571">
        <f t="shared" si="89"/>
        <v>0.8705005209722616</v>
      </c>
      <c r="BA33" s="571">
        <f t="shared" si="89"/>
        <v>-1.1963705405093394</v>
      </c>
      <c r="BB33" s="571">
        <f t="shared" si="89"/>
        <v>2.5879917184264967</v>
      </c>
      <c r="BC33" s="571"/>
      <c r="BD33" s="571">
        <f t="shared" si="90"/>
        <v>-3.3299697275479212</v>
      </c>
      <c r="BE33" s="571">
        <f t="shared" si="91"/>
        <v>-1.6701461377870541</v>
      </c>
      <c r="BF33" s="571">
        <f t="shared" si="91"/>
        <v>-2.7600849256900428</v>
      </c>
      <c r="BG33" s="571">
        <f t="shared" si="91"/>
        <v>-0.32751091703056012</v>
      </c>
      <c r="BH33" s="571"/>
      <c r="BI33" s="571">
        <f t="shared" si="92"/>
        <v>2.8477546549835697</v>
      </c>
      <c r="BJ33" s="571">
        <f t="shared" si="93"/>
        <v>-0.85197018104365974</v>
      </c>
      <c r="BK33" s="571">
        <f t="shared" si="93"/>
        <v>2.7926960257787403</v>
      </c>
      <c r="BL33" s="572">
        <f t="shared" si="93"/>
        <v>3.4482758620689502</v>
      </c>
      <c r="BM33" s="572"/>
      <c r="BN33" s="572">
        <f t="shared" si="94"/>
        <v>2.0202020202020332</v>
      </c>
      <c r="BO33" s="572">
        <f t="shared" si="95"/>
        <v>7.7227722772277296</v>
      </c>
      <c r="BP33" s="572">
        <f t="shared" si="95"/>
        <v>6.3419117647058876</v>
      </c>
      <c r="BQ33" s="572">
        <f t="shared" si="95"/>
        <v>4.9265341400172913</v>
      </c>
      <c r="BR33" s="572"/>
      <c r="BS33" s="572">
        <f t="shared" si="96"/>
        <v>-0.57660626029655271</v>
      </c>
      <c r="BT33" s="572">
        <f t="shared" si="97"/>
        <v>1.6570008285004212</v>
      </c>
      <c r="BU33" s="572">
        <f t="shared" si="98"/>
        <v>0.89649551752239987</v>
      </c>
      <c r="BV33" s="572">
        <f t="shared" si="98"/>
        <v>-0.1615508885298933</v>
      </c>
      <c r="BW33" s="572"/>
      <c r="BX33" s="572">
        <f t="shared" si="99"/>
        <v>-5.9870550161812197</v>
      </c>
      <c r="BY33" s="572">
        <f t="shared" si="100"/>
        <v>4.8192771084337283</v>
      </c>
      <c r="BZ33" s="572">
        <f t="shared" si="100"/>
        <v>1.0673234811165999</v>
      </c>
      <c r="CA33" s="573">
        <f t="shared" si="100"/>
        <v>5.8164094232331376</v>
      </c>
    </row>
    <row r="34" spans="1:80" s="177" customFormat="1" x14ac:dyDescent="0.2">
      <c r="A34" s="551" t="s">
        <v>131</v>
      </c>
      <c r="B34" s="547"/>
      <c r="C34" s="547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60"/>
      <c r="P34" s="560">
        <f t="shared" si="75"/>
        <v>22.791278554921313</v>
      </c>
      <c r="Q34" s="560">
        <f t="shared" si="75"/>
        <v>-0.90679573201123409</v>
      </c>
      <c r="R34" s="564"/>
      <c r="S34" s="560">
        <f t="shared" si="76"/>
        <v>4.2084597160243042</v>
      </c>
      <c r="T34" s="560">
        <f t="shared" si="77"/>
        <v>-0.69635659353934898</v>
      </c>
      <c r="U34" s="560">
        <f t="shared" si="77"/>
        <v>1.0951686105909797</v>
      </c>
      <c r="V34" s="560">
        <f t="shared" si="77"/>
        <v>-0.1554760231078256</v>
      </c>
      <c r="W34" s="565"/>
      <c r="X34" s="560">
        <f t="shared" si="78"/>
        <v>1.8871654548413552</v>
      </c>
      <c r="Y34" s="560">
        <f t="shared" si="79"/>
        <v>4.4373006465716847</v>
      </c>
      <c r="Z34" s="560">
        <f t="shared" si="79"/>
        <v>-0.42846379334692264</v>
      </c>
      <c r="AA34" s="560">
        <f t="shared" si="79"/>
        <v>1.3447797891757984</v>
      </c>
      <c r="AB34" s="568"/>
      <c r="AC34" s="560">
        <f t="shared" si="80"/>
        <v>1.0047354233150285</v>
      </c>
      <c r="AD34" s="560">
        <f t="shared" si="81"/>
        <v>-8.6181456312750537E-2</v>
      </c>
      <c r="AE34" s="560">
        <f t="shared" si="81"/>
        <v>0.20499994899274565</v>
      </c>
      <c r="AF34" s="560">
        <f t="shared" si="81"/>
        <v>-4.468755567993421E-2</v>
      </c>
      <c r="AG34" s="568"/>
      <c r="AH34" s="560">
        <f t="shared" si="82"/>
        <v>2.7504697695066138</v>
      </c>
      <c r="AI34" s="560">
        <f t="shared" si="83"/>
        <v>1.3113529107968258</v>
      </c>
      <c r="AJ34" s="560">
        <f t="shared" si="83"/>
        <v>2.0510757266797075</v>
      </c>
      <c r="AK34" s="560">
        <f t="shared" si="83"/>
        <v>-1.5460419612012943</v>
      </c>
      <c r="AL34" s="568"/>
      <c r="AM34" s="560">
        <f t="shared" si="84"/>
        <v>-0.28439268013120689</v>
      </c>
      <c r="AN34" s="560">
        <f t="shared" si="85"/>
        <v>1.6423125487364132</v>
      </c>
      <c r="AO34" s="560">
        <f t="shared" si="85"/>
        <v>1.554652647445165</v>
      </c>
      <c r="AP34" s="560">
        <f t="shared" si="85"/>
        <v>0.52137381734496113</v>
      </c>
      <c r="AQ34" s="568"/>
      <c r="AR34" s="560">
        <f t="shared" si="86"/>
        <v>0.15365548608938795</v>
      </c>
      <c r="AS34" s="560">
        <f t="shared" si="87"/>
        <v>1.1026381061508328</v>
      </c>
      <c r="AT34" s="560">
        <f t="shared" si="87"/>
        <v>-38.038822158234872</v>
      </c>
      <c r="AU34" s="560">
        <f t="shared" si="87"/>
        <v>-0.23295774753576692</v>
      </c>
      <c r="AV34" s="560"/>
      <c r="AW34" s="560"/>
      <c r="AX34" s="568"/>
      <c r="AY34" s="571">
        <f t="shared" si="88"/>
        <v>1.4100322378416408</v>
      </c>
      <c r="AZ34" s="571">
        <f t="shared" si="89"/>
        <v>1.0962065356434847</v>
      </c>
      <c r="BA34" s="571">
        <f t="shared" si="89"/>
        <v>0.47551140772217337</v>
      </c>
      <c r="BB34" s="571">
        <f t="shared" si="89"/>
        <v>-0.56980056980058258</v>
      </c>
      <c r="BC34" s="571"/>
      <c r="BD34" s="571">
        <f t="shared" si="90"/>
        <v>-2.5787965616045794</v>
      </c>
      <c r="BE34" s="571">
        <f t="shared" si="91"/>
        <v>19.313725490196099</v>
      </c>
      <c r="BF34" s="571">
        <f t="shared" si="91"/>
        <v>-8.1347576006573714</v>
      </c>
      <c r="BG34" s="571">
        <f t="shared" si="91"/>
        <v>-5.1878354203935491</v>
      </c>
      <c r="BH34" s="571"/>
      <c r="BI34" s="571">
        <f t="shared" si="92"/>
        <v>-0.66037735849056034</v>
      </c>
      <c r="BJ34" s="571">
        <f t="shared" si="93"/>
        <v>1.804368471035156</v>
      </c>
      <c r="BK34" s="571">
        <f t="shared" si="93"/>
        <v>2.2388059701492491</v>
      </c>
      <c r="BL34" s="572">
        <f t="shared" si="93"/>
        <v>17.42700729927007</v>
      </c>
      <c r="BM34" s="572"/>
      <c r="BN34" s="572">
        <f t="shared" si="94"/>
        <v>16.006216006216011</v>
      </c>
      <c r="BO34" s="572">
        <f t="shared" si="95"/>
        <v>0.26791694574681557</v>
      </c>
      <c r="BP34" s="572">
        <f t="shared" si="95"/>
        <v>6.6800267201072572E-2</v>
      </c>
      <c r="BQ34" s="572">
        <f t="shared" si="95"/>
        <v>1.8691588785046731</v>
      </c>
      <c r="BR34" s="572"/>
      <c r="BS34" s="572">
        <f t="shared" si="96"/>
        <v>0.98296199213629976</v>
      </c>
      <c r="BT34" s="572">
        <f t="shared" si="97"/>
        <v>-0.77871512005189825</v>
      </c>
      <c r="BU34" s="572">
        <f t="shared" si="98"/>
        <v>1.2426422498365008</v>
      </c>
      <c r="BV34" s="572">
        <f t="shared" si="98"/>
        <v>1.2273901808785403</v>
      </c>
      <c r="BW34" s="572"/>
      <c r="BX34" s="572">
        <f t="shared" si="99"/>
        <v>0.12763241863433805</v>
      </c>
      <c r="BY34" s="572">
        <f t="shared" si="100"/>
        <v>0.31867431485024245</v>
      </c>
      <c r="BZ34" s="572">
        <f t="shared" si="100"/>
        <v>3.4307496823379857</v>
      </c>
      <c r="CA34" s="573">
        <f t="shared" si="100"/>
        <v>0</v>
      </c>
    </row>
    <row r="35" spans="1:80" s="177" customFormat="1" x14ac:dyDescent="0.2">
      <c r="A35" s="551" t="s">
        <v>132</v>
      </c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74"/>
      <c r="P35" s="574">
        <f t="shared" si="75"/>
        <v>21.683650800923715</v>
      </c>
      <c r="Q35" s="574">
        <f t="shared" si="75"/>
        <v>-2.1481349762917712</v>
      </c>
      <c r="R35" s="564"/>
      <c r="S35" s="574">
        <f t="shared" si="76"/>
        <v>5.8381083086603391</v>
      </c>
      <c r="T35" s="574">
        <f t="shared" si="77"/>
        <v>-1.7384458518127088</v>
      </c>
      <c r="U35" s="574">
        <f t="shared" si="77"/>
        <v>2.8272609709727448</v>
      </c>
      <c r="V35" s="574">
        <f t="shared" si="77"/>
        <v>1.2510036874453512</v>
      </c>
      <c r="W35" s="565"/>
      <c r="X35" s="574">
        <f t="shared" si="78"/>
        <v>-0.67574167496247117</v>
      </c>
      <c r="Y35" s="574">
        <f t="shared" si="79"/>
        <v>1.5462092205842159</v>
      </c>
      <c r="Z35" s="574">
        <f t="shared" si="79"/>
        <v>-1.5296052777594382</v>
      </c>
      <c r="AA35" s="574">
        <f t="shared" si="79"/>
        <v>-1.7420053388072398</v>
      </c>
      <c r="AB35" s="568"/>
      <c r="AC35" s="574">
        <f t="shared" si="80"/>
        <v>10.21896754789422</v>
      </c>
      <c r="AD35" s="574">
        <f t="shared" si="81"/>
        <v>-5.0844043148176148</v>
      </c>
      <c r="AE35" s="574">
        <f t="shared" si="81"/>
        <v>6.5465508944048789</v>
      </c>
      <c r="AF35" s="574">
        <f t="shared" si="81"/>
        <v>0.67602164909144058</v>
      </c>
      <c r="AG35" s="568"/>
      <c r="AH35" s="574">
        <f t="shared" si="82"/>
        <v>0.31004428728873545</v>
      </c>
      <c r="AI35" s="574">
        <f t="shared" si="83"/>
        <v>-4.7291737684692858</v>
      </c>
      <c r="AJ35" s="574">
        <f t="shared" si="83"/>
        <v>-0.68736591287935633</v>
      </c>
      <c r="AK35" s="574">
        <f t="shared" si="83"/>
        <v>0.278595060737441</v>
      </c>
      <c r="AL35" s="568"/>
      <c r="AM35" s="574">
        <f t="shared" si="84"/>
        <v>3.7931303012258555</v>
      </c>
      <c r="AN35" s="574">
        <f t="shared" si="85"/>
        <v>-3.6299435364444355</v>
      </c>
      <c r="AO35" s="574">
        <f t="shared" si="85"/>
        <v>-1.4020247837881916</v>
      </c>
      <c r="AP35" s="574">
        <f t="shared" si="85"/>
        <v>-0.80032102515648074</v>
      </c>
      <c r="AQ35" s="568"/>
      <c r="AR35" s="574">
        <f t="shared" si="86"/>
        <v>0.78694262470124787</v>
      </c>
      <c r="AS35" s="574">
        <f t="shared" si="87"/>
        <v>0.18741477540553664</v>
      </c>
      <c r="AT35" s="574">
        <f t="shared" si="87"/>
        <v>-28.707152321458462</v>
      </c>
      <c r="AU35" s="574">
        <f t="shared" si="87"/>
        <v>0.11721236116051248</v>
      </c>
      <c r="AV35" s="574"/>
      <c r="AW35" s="574"/>
      <c r="AX35" s="568"/>
      <c r="AY35" s="572">
        <f t="shared" si="88"/>
        <v>4.8750564494279613</v>
      </c>
      <c r="AZ35" s="572">
        <f t="shared" si="89"/>
        <v>-0.60599916845143209</v>
      </c>
      <c r="BA35" s="572">
        <f t="shared" si="89"/>
        <v>0.93975092495317547</v>
      </c>
      <c r="BB35" s="572">
        <f t="shared" si="89"/>
        <v>0.37700282752120007</v>
      </c>
      <c r="BC35" s="572"/>
      <c r="BD35" s="572">
        <f t="shared" si="90"/>
        <v>-1.4084507042253502</v>
      </c>
      <c r="BE35" s="572">
        <f t="shared" si="91"/>
        <v>3.9047619047618998</v>
      </c>
      <c r="BF35" s="572">
        <f t="shared" si="91"/>
        <v>-1.3748854262144783</v>
      </c>
      <c r="BG35" s="572">
        <f t="shared" si="91"/>
        <v>-0.27881040892192566</v>
      </c>
      <c r="BH35" s="572"/>
      <c r="BI35" s="572">
        <f t="shared" si="92"/>
        <v>8.3876980428704506</v>
      </c>
      <c r="BJ35" s="572">
        <f t="shared" si="93"/>
        <v>-0.34393809114358076</v>
      </c>
      <c r="BK35" s="572">
        <f t="shared" si="93"/>
        <v>2.761000862812768</v>
      </c>
      <c r="BL35" s="572">
        <f t="shared" si="93"/>
        <v>1.2594458438287104</v>
      </c>
      <c r="BM35" s="572"/>
      <c r="BN35" s="572">
        <f t="shared" si="94"/>
        <v>3.1509121061360057</v>
      </c>
      <c r="BO35" s="572">
        <f t="shared" si="95"/>
        <v>1.1254019292604278</v>
      </c>
      <c r="BP35" s="572">
        <f t="shared" si="95"/>
        <v>0.47694753577105509</v>
      </c>
      <c r="BQ35" s="572">
        <f t="shared" si="95"/>
        <v>0.2373417721519111</v>
      </c>
      <c r="BR35" s="572"/>
      <c r="BS35" s="572">
        <f t="shared" si="96"/>
        <v>-7.8926598263628911E-2</v>
      </c>
      <c r="BT35" s="572">
        <f t="shared" si="97"/>
        <v>0.15797788309637184</v>
      </c>
      <c r="BU35" s="572">
        <f t="shared" si="98"/>
        <v>1.8927444794952564</v>
      </c>
      <c r="BV35" s="572">
        <f t="shared" si="98"/>
        <v>0.38699690402477227</v>
      </c>
      <c r="BW35" s="572"/>
      <c r="BX35" s="572">
        <f t="shared" si="99"/>
        <v>3.3153430994603106</v>
      </c>
      <c r="BY35" s="572">
        <f t="shared" si="100"/>
        <v>0.14925373134326847</v>
      </c>
      <c r="BZ35" s="572">
        <f t="shared" si="100"/>
        <v>2.9061102831594576</v>
      </c>
      <c r="CA35" s="573">
        <f t="shared" si="100"/>
        <v>3.1052860246198355</v>
      </c>
    </row>
    <row r="36" spans="1:80" s="177" customFormat="1" x14ac:dyDescent="0.2">
      <c r="A36" s="546" t="s">
        <v>144</v>
      </c>
      <c r="B36" s="547"/>
      <c r="C36" s="547"/>
      <c r="D36" s="547"/>
      <c r="E36" s="547"/>
      <c r="F36" s="547"/>
      <c r="G36" s="547"/>
      <c r="H36" s="547"/>
      <c r="I36" s="547"/>
      <c r="J36" s="547"/>
      <c r="K36" s="547"/>
      <c r="L36" s="547"/>
      <c r="M36" s="547"/>
      <c r="N36" s="547"/>
      <c r="O36" s="560"/>
      <c r="P36" s="560">
        <f t="shared" si="75"/>
        <v>8.7349701175000618</v>
      </c>
      <c r="Q36" s="560">
        <f t="shared" si="75"/>
        <v>5.3053868014607763</v>
      </c>
      <c r="R36" s="564"/>
      <c r="S36" s="560">
        <f t="shared" si="76"/>
        <v>-1.2876516150040707</v>
      </c>
      <c r="T36" s="560">
        <f t="shared" si="77"/>
        <v>4.4877820893208797</v>
      </c>
      <c r="U36" s="560">
        <f t="shared" si="77"/>
        <v>2.8047194466942704</v>
      </c>
      <c r="V36" s="560">
        <f t="shared" si="77"/>
        <v>4.9416953540722286</v>
      </c>
      <c r="W36" s="565"/>
      <c r="X36" s="560">
        <f t="shared" si="78"/>
        <v>7.4001848392372338</v>
      </c>
      <c r="Y36" s="560">
        <f t="shared" si="79"/>
        <v>-2.3517526748215278</v>
      </c>
      <c r="Z36" s="560">
        <f t="shared" si="79"/>
        <v>2.2535248906442984</v>
      </c>
      <c r="AA36" s="560">
        <f t="shared" si="79"/>
        <v>-6.7635900763573398</v>
      </c>
      <c r="AB36" s="568"/>
      <c r="AC36" s="560">
        <f t="shared" si="80"/>
        <v>3.2752599374741731</v>
      </c>
      <c r="AD36" s="560">
        <f t="shared" si="81"/>
        <v>-7.5429491292596467</v>
      </c>
      <c r="AE36" s="560">
        <f t="shared" si="81"/>
        <v>13.331050247293064</v>
      </c>
      <c r="AF36" s="560">
        <f t="shared" si="81"/>
        <v>2.76348945135374</v>
      </c>
      <c r="AG36" s="568"/>
      <c r="AH36" s="560">
        <f t="shared" si="82"/>
        <v>-6.835991446239964</v>
      </c>
      <c r="AI36" s="560">
        <f t="shared" si="83"/>
        <v>8.9533679646683684</v>
      </c>
      <c r="AJ36" s="560">
        <f t="shared" si="83"/>
        <v>3.0684763004495963E-2</v>
      </c>
      <c r="AK36" s="560">
        <f t="shared" si="83"/>
        <v>-3.4388610910334294</v>
      </c>
      <c r="AL36" s="568"/>
      <c r="AM36" s="560">
        <f t="shared" si="84"/>
        <v>0.77631715071666552</v>
      </c>
      <c r="AN36" s="560">
        <f t="shared" si="85"/>
        <v>1.2265316480243982</v>
      </c>
      <c r="AO36" s="560">
        <f t="shared" si="85"/>
        <v>-5.0579809177367814</v>
      </c>
      <c r="AP36" s="560">
        <f t="shared" si="85"/>
        <v>5.4861074032583224</v>
      </c>
      <c r="AQ36" s="568"/>
      <c r="AR36" s="560">
        <f t="shared" si="86"/>
        <v>3.304877721606525</v>
      </c>
      <c r="AS36" s="560">
        <f t="shared" si="87"/>
        <v>-0.81100022198402621</v>
      </c>
      <c r="AT36" s="560">
        <f t="shared" si="87"/>
        <v>-31.539646448181692</v>
      </c>
      <c r="AU36" s="560">
        <f t="shared" si="87"/>
        <v>0.26896787003689582</v>
      </c>
      <c r="AV36" s="560"/>
      <c r="AW36" s="560"/>
      <c r="AX36" s="568"/>
      <c r="AY36" s="571">
        <f t="shared" si="88"/>
        <v>3.8889727217977121</v>
      </c>
      <c r="AZ36" s="571">
        <f t="shared" si="89"/>
        <v>0.95662504476186072</v>
      </c>
      <c r="BA36" s="571">
        <f t="shared" si="89"/>
        <v>0.9460768778993156</v>
      </c>
      <c r="BB36" s="571">
        <f t="shared" si="89"/>
        <v>3.1423290203327126</v>
      </c>
      <c r="BC36" s="571"/>
      <c r="BD36" s="571">
        <f t="shared" si="90"/>
        <v>2.9569892473118475</v>
      </c>
      <c r="BE36" s="571">
        <f t="shared" si="91"/>
        <v>0.34812880765884291</v>
      </c>
      <c r="BF36" s="571">
        <f t="shared" si="91"/>
        <v>8.6730268863832727E-2</v>
      </c>
      <c r="BG36" s="571">
        <f t="shared" si="91"/>
        <v>1.1265164644713943</v>
      </c>
      <c r="BH36" s="571"/>
      <c r="BI36" s="571">
        <f t="shared" si="92"/>
        <v>5.1413881748072043</v>
      </c>
      <c r="BJ36" s="571">
        <f t="shared" si="93"/>
        <v>-0.89649551752242207</v>
      </c>
      <c r="BK36" s="571">
        <f t="shared" si="93"/>
        <v>-2.7138157894736725</v>
      </c>
      <c r="BL36" s="572">
        <f t="shared" si="93"/>
        <v>-2.6204564666103103</v>
      </c>
      <c r="BM36" s="572"/>
      <c r="BN36" s="572">
        <f t="shared" si="94"/>
        <v>2.34375</v>
      </c>
      <c r="BO36" s="572">
        <f t="shared" si="95"/>
        <v>3.3078880407124478</v>
      </c>
      <c r="BP36" s="572">
        <f t="shared" si="95"/>
        <v>3.3661740558292408</v>
      </c>
      <c r="BQ36" s="572">
        <f t="shared" si="95"/>
        <v>7.9428117553614896E-2</v>
      </c>
      <c r="BR36" s="572"/>
      <c r="BS36" s="572">
        <f t="shared" si="96"/>
        <v>0.39682539682539542</v>
      </c>
      <c r="BT36" s="572">
        <f t="shared" si="97"/>
        <v>1.1067193675889264</v>
      </c>
      <c r="BU36" s="572">
        <f t="shared" si="98"/>
        <v>2.7365129007036693</v>
      </c>
      <c r="BV36" s="572">
        <f t="shared" si="98"/>
        <v>2.130898021308969</v>
      </c>
      <c r="BW36" s="572"/>
      <c r="BX36" s="572">
        <f t="shared" si="99"/>
        <v>2.5335320417287699</v>
      </c>
      <c r="BY36" s="572">
        <f t="shared" si="100"/>
        <v>3.9244186046511587</v>
      </c>
      <c r="BZ36" s="572">
        <f t="shared" si="100"/>
        <v>-2.5874125874125853</v>
      </c>
      <c r="CA36" s="573">
        <f t="shared" si="100"/>
        <v>9.3797559224694904</v>
      </c>
    </row>
    <row r="37" spans="1:80" s="177" customFormat="1" x14ac:dyDescent="0.2">
      <c r="A37" s="575" t="s">
        <v>145</v>
      </c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7"/>
      <c r="P37" s="577">
        <f t="shared" si="75"/>
        <v>4.7285917548166134</v>
      </c>
      <c r="Q37" s="577">
        <f t="shared" si="75"/>
        <v>1.278267830861668</v>
      </c>
      <c r="R37" s="578"/>
      <c r="S37" s="577">
        <f t="shared" si="76"/>
        <v>0.69712414234677222</v>
      </c>
      <c r="T37" s="577">
        <f t="shared" si="77"/>
        <v>-0.94326013886213422</v>
      </c>
      <c r="U37" s="577">
        <f t="shared" si="77"/>
        <v>2.4447826647886473</v>
      </c>
      <c r="V37" s="577">
        <f t="shared" si="77"/>
        <v>1.3383095455630212</v>
      </c>
      <c r="W37" s="579"/>
      <c r="X37" s="577">
        <f t="shared" si="78"/>
        <v>-0.91307474387571919</v>
      </c>
      <c r="Y37" s="577">
        <f t="shared" si="79"/>
        <v>0.83437085277608958</v>
      </c>
      <c r="Z37" s="577">
        <f t="shared" si="79"/>
        <v>1.667739930938783</v>
      </c>
      <c r="AA37" s="577">
        <f t="shared" si="79"/>
        <v>2.1095232588639545</v>
      </c>
      <c r="AB37" s="580"/>
      <c r="AC37" s="577">
        <f t="shared" si="80"/>
        <v>1.086039332124944</v>
      </c>
      <c r="AD37" s="577">
        <f t="shared" si="81"/>
        <v>-0.80845531009717808</v>
      </c>
      <c r="AE37" s="577">
        <f t="shared" si="81"/>
        <v>0.82026693935099981</v>
      </c>
      <c r="AF37" s="577">
        <f t="shared" si="81"/>
        <v>0.51234649644138486</v>
      </c>
      <c r="AG37" s="580"/>
      <c r="AH37" s="577">
        <f t="shared" si="82"/>
        <v>-1.0008599665859319</v>
      </c>
      <c r="AI37" s="577">
        <f t="shared" si="83"/>
        <v>-2.8085987707678561</v>
      </c>
      <c r="AJ37" s="577">
        <f t="shared" si="83"/>
        <v>-2.4208411329192048</v>
      </c>
      <c r="AK37" s="577">
        <f t="shared" si="83"/>
        <v>1.6715097011412272</v>
      </c>
      <c r="AL37" s="580"/>
      <c r="AM37" s="577">
        <f t="shared" si="84"/>
        <v>1.2445287429682095</v>
      </c>
      <c r="AN37" s="577">
        <f t="shared" si="85"/>
        <v>1.1648825358679948</v>
      </c>
      <c r="AO37" s="577">
        <f t="shared" si="85"/>
        <v>2.1491075477961141</v>
      </c>
      <c r="AP37" s="577">
        <f t="shared" si="85"/>
        <v>0.95146276045989797</v>
      </c>
      <c r="AQ37" s="580"/>
      <c r="AR37" s="577">
        <f t="shared" si="86"/>
        <v>0.49845795497502898</v>
      </c>
      <c r="AS37" s="577">
        <f t="shared" si="87"/>
        <v>0.47779224393054154</v>
      </c>
      <c r="AT37" s="577">
        <f t="shared" si="87"/>
        <v>-34.289440289450489</v>
      </c>
      <c r="AU37" s="577">
        <f t="shared" si="87"/>
        <v>-0.31534663307649646</v>
      </c>
      <c r="AV37" s="577"/>
      <c r="AW37" s="577"/>
      <c r="AX37" s="580"/>
      <c r="AY37" s="581">
        <f t="shared" si="88"/>
        <v>1.1977851478907287</v>
      </c>
      <c r="AZ37" s="581">
        <f t="shared" si="89"/>
        <v>6.7566298259635893E-2</v>
      </c>
      <c r="BA37" s="581">
        <f t="shared" si="89"/>
        <v>-0.78872114632047019</v>
      </c>
      <c r="BB37" s="581">
        <f t="shared" si="89"/>
        <v>-2.5490196078431393</v>
      </c>
      <c r="BC37" s="581"/>
      <c r="BD37" s="581">
        <f t="shared" si="90"/>
        <v>1.6096579476861272</v>
      </c>
      <c r="BE37" s="581">
        <f t="shared" si="91"/>
        <v>1.0891089108910901</v>
      </c>
      <c r="BF37" s="581">
        <f t="shared" si="91"/>
        <v>1.3712047012732764</v>
      </c>
      <c r="BG37" s="581">
        <f t="shared" si="91"/>
        <v>-2.6086956521739202</v>
      </c>
      <c r="BH37" s="581"/>
      <c r="BI37" s="581">
        <f t="shared" si="92"/>
        <v>1.8849206349206504</v>
      </c>
      <c r="BJ37" s="581">
        <f t="shared" si="93"/>
        <v>3.2132424537487658</v>
      </c>
      <c r="BK37" s="581">
        <f t="shared" si="93"/>
        <v>3.3018867924528461</v>
      </c>
      <c r="BL37" s="581">
        <f t="shared" si="93"/>
        <v>4.6575342465753344</v>
      </c>
      <c r="BM37" s="581"/>
      <c r="BN37" s="581">
        <f t="shared" si="94"/>
        <v>1.7452006980802626</v>
      </c>
      <c r="BO37" s="581">
        <f t="shared" si="95"/>
        <v>1.3722126929674339</v>
      </c>
      <c r="BP37" s="581">
        <f t="shared" si="95"/>
        <v>-0.4230118443316444</v>
      </c>
      <c r="BQ37" s="581">
        <f t="shared" si="95"/>
        <v>2.4638912489379328</v>
      </c>
      <c r="BR37" s="581"/>
      <c r="BS37" s="581">
        <f t="shared" si="96"/>
        <v>2.5704809286899</v>
      </c>
      <c r="BT37" s="581">
        <f t="shared" si="97"/>
        <v>3.1527890056588515</v>
      </c>
      <c r="BU37" s="581">
        <f t="shared" si="98"/>
        <v>5.7210031347962431</v>
      </c>
      <c r="BV37" s="581">
        <f t="shared" si="98"/>
        <v>2.3721275018532273</v>
      </c>
      <c r="BW37" s="581"/>
      <c r="BX37" s="581">
        <f t="shared" si="99"/>
        <v>0.28964518464882349</v>
      </c>
      <c r="BY37" s="581">
        <f t="shared" si="100"/>
        <v>1.1552346570397054</v>
      </c>
      <c r="BZ37" s="581">
        <f t="shared" si="100"/>
        <v>6.3526052819414813</v>
      </c>
      <c r="CA37" s="582">
        <f t="shared" si="100"/>
        <v>3.7766442953020007</v>
      </c>
    </row>
    <row r="38" spans="1:80" s="177" customFormat="1" x14ac:dyDescent="0.2">
      <c r="CA38" s="554"/>
    </row>
    <row r="39" spans="1:80" ht="14.25" customHeight="1" x14ac:dyDescent="0.2">
      <c r="A39" s="253" t="s">
        <v>105</v>
      </c>
      <c r="Q39" s="179"/>
      <c r="R39" s="179"/>
      <c r="AS39" s="157"/>
      <c r="BZ39" s="836"/>
      <c r="CA39" s="584"/>
      <c r="CB39" s="836" t="s">
        <v>110</v>
      </c>
    </row>
    <row r="40" spans="1:80" ht="14.25" customHeight="1" x14ac:dyDescent="0.2">
      <c r="A40" s="292" t="s">
        <v>35</v>
      </c>
      <c r="Q40" s="179"/>
      <c r="R40" s="179"/>
      <c r="AK40"/>
      <c r="AM40"/>
      <c r="AN40"/>
      <c r="AO40"/>
      <c r="AP40"/>
      <c r="AQ40" s="301"/>
      <c r="AR40"/>
      <c r="AS40"/>
      <c r="BZ40" s="836"/>
      <c r="CA40" s="584"/>
      <c r="CB40" s="836"/>
    </row>
    <row r="42" spans="1:80" x14ac:dyDescent="0.2">
      <c r="A42" s="235"/>
    </row>
    <row r="43" spans="1:80" x14ac:dyDescent="0.2">
      <c r="A43" s="235"/>
    </row>
    <row r="45" spans="1:80" x14ac:dyDescent="0.2">
      <c r="A45" s="189" t="s">
        <v>106</v>
      </c>
    </row>
    <row r="46" spans="1:80" x14ac:dyDescent="0.2">
      <c r="A46" s="190">
        <f ca="1">NOW()</f>
        <v>45834.501835300929</v>
      </c>
    </row>
    <row r="49" spans="1:1" x14ac:dyDescent="0.2">
      <c r="A49"/>
    </row>
  </sheetData>
  <mergeCells count="12">
    <mergeCell ref="CB39:CB40"/>
    <mergeCell ref="BZ39:BZ40"/>
    <mergeCell ref="BI27:BT27"/>
    <mergeCell ref="BI16:BT16"/>
    <mergeCell ref="A1:BY1"/>
    <mergeCell ref="BS3:BV3"/>
    <mergeCell ref="BD3:BG3"/>
    <mergeCell ref="BI3:BL3"/>
    <mergeCell ref="BN3:BP3"/>
    <mergeCell ref="BX3:CA3"/>
    <mergeCell ref="AR3:AU3"/>
    <mergeCell ref="AY3:BB3"/>
  </mergeCells>
  <phoneticPr fontId="2" type="noConversion"/>
  <printOptions gridLinesSet="0"/>
  <pageMargins left="1.81" right="0.59050000000000002" top="0.57999999999999996" bottom="1.96" header="0.44" footer="0.5"/>
  <pageSetup paperSize="9" orientation="landscape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54" transitionEvaluation="1" codeName="Sheet13">
    <outlinePr summaryBelow="0" summaryRight="0"/>
  </sheetPr>
  <dimension ref="A1:BE78"/>
  <sheetViews>
    <sheetView showGridLines="0" showOutlineSymbols="0" workbookViewId="0">
      <pane xSplit="2" ySplit="6" topLeftCell="C54" activePane="bottomRight" state="frozen"/>
      <selection activeCell="F113" sqref="F113"/>
      <selection pane="topRight" activeCell="F113" sqref="F113"/>
      <selection pane="bottomLeft" activeCell="F113" sqref="F113"/>
      <selection pane="bottomRight" activeCell="B59" sqref="B59"/>
    </sheetView>
  </sheetViews>
  <sheetFormatPr defaultColWidth="14" defaultRowHeight="10.199999999999999" outlineLevelRow="1" x14ac:dyDescent="0.2"/>
  <cols>
    <col min="1" max="1" width="8" style="49" customWidth="1"/>
    <col min="2" max="2" width="5.33203125" style="49" customWidth="1"/>
    <col min="3" max="3" width="12" style="49" customWidth="1"/>
    <col min="4" max="4" width="11" style="49" customWidth="1"/>
    <col min="5" max="7" width="12" style="49" customWidth="1"/>
    <col min="8" max="8" width="11" style="49" customWidth="1"/>
    <col min="9" max="9" width="12" style="49" customWidth="1"/>
    <col min="10" max="10" width="14" style="49" customWidth="1"/>
    <col min="11" max="46" width="14" style="49"/>
    <col min="47" max="47" width="1" style="49" customWidth="1"/>
    <col min="48" max="48" width="5.6640625" style="49" hidden="1" customWidth="1"/>
    <col min="49" max="49" width="4.33203125" style="49" hidden="1" customWidth="1"/>
    <col min="50" max="50" width="4.83203125" style="49" hidden="1" customWidth="1"/>
    <col min="51" max="51" width="4.1640625" style="49" hidden="1" customWidth="1"/>
    <col min="52" max="52" width="4" style="49" hidden="1" customWidth="1"/>
    <col min="53" max="53" width="4.33203125" style="49" hidden="1" customWidth="1"/>
    <col min="54" max="54" width="5" style="49" hidden="1" customWidth="1"/>
    <col min="55" max="55" width="5.33203125" style="49" hidden="1" customWidth="1"/>
    <col min="56" max="56" width="5.83203125" style="49" hidden="1" customWidth="1"/>
    <col min="57" max="57" width="4.6640625" style="49" hidden="1" customWidth="1"/>
    <col min="58" max="16384" width="14" style="49"/>
  </cols>
  <sheetData>
    <row r="1" spans="1:10" ht="20.100000000000001" customHeight="1" x14ac:dyDescent="0.2">
      <c r="A1" s="50"/>
      <c r="B1" s="50"/>
      <c r="C1" s="50"/>
      <c r="J1" s="486" t="s">
        <v>63</v>
      </c>
    </row>
    <row r="2" spans="1:10" ht="15" customHeight="1" x14ac:dyDescent="0.25">
      <c r="A2" s="51" t="s">
        <v>151</v>
      </c>
      <c r="B2" s="51"/>
      <c r="C2" s="51"/>
      <c r="D2" s="52"/>
      <c r="E2" s="52"/>
      <c r="F2" s="52"/>
      <c r="G2" s="52"/>
      <c r="H2" s="52"/>
      <c r="I2" s="52"/>
      <c r="J2" s="52"/>
    </row>
    <row r="3" spans="1:10" ht="18" customHeight="1" x14ac:dyDescent="0.2">
      <c r="A3" s="53"/>
      <c r="B3" s="53"/>
      <c r="C3" s="53"/>
      <c r="D3" s="54"/>
      <c r="E3" s="54"/>
      <c r="F3" s="54"/>
      <c r="G3" s="54"/>
      <c r="H3" s="54"/>
      <c r="I3" s="54"/>
      <c r="J3" s="54"/>
    </row>
    <row r="4" spans="1:10" ht="15" customHeight="1" x14ac:dyDescent="0.2">
      <c r="A4" s="53"/>
      <c r="B4" s="53"/>
      <c r="C4" s="53"/>
      <c r="D4" s="54"/>
      <c r="E4" s="54"/>
      <c r="F4" s="54"/>
      <c r="G4" s="54"/>
      <c r="H4" s="54"/>
      <c r="I4" s="54"/>
      <c r="J4" s="54"/>
    </row>
    <row r="5" spans="1:10" ht="15" customHeight="1" x14ac:dyDescent="0.2">
      <c r="A5" s="55" t="s">
        <v>6</v>
      </c>
      <c r="B5" s="56"/>
      <c r="C5" s="57" t="s">
        <v>39</v>
      </c>
      <c r="D5" s="57" t="s">
        <v>40</v>
      </c>
      <c r="E5" s="57" t="s">
        <v>41</v>
      </c>
      <c r="F5" s="57" t="s">
        <v>42</v>
      </c>
      <c r="G5" s="57" t="s">
        <v>43</v>
      </c>
      <c r="H5" s="57" t="s">
        <v>44</v>
      </c>
      <c r="I5" s="57" t="s">
        <v>45</v>
      </c>
      <c r="J5" s="58" t="s">
        <v>46</v>
      </c>
    </row>
    <row r="6" spans="1:10" ht="15" customHeight="1" collapsed="1" x14ac:dyDescent="0.2">
      <c r="A6" s="242"/>
      <c r="B6" s="243"/>
      <c r="C6" s="243"/>
      <c r="D6" s="244" t="s">
        <v>135</v>
      </c>
      <c r="E6" s="245"/>
      <c r="F6" s="245"/>
      <c r="G6" s="245"/>
      <c r="H6" s="244" t="s">
        <v>48</v>
      </c>
      <c r="I6" s="245"/>
      <c r="J6" s="246"/>
    </row>
    <row r="7" spans="1:10" s="279" customFormat="1" ht="15" hidden="1" customHeight="1" outlineLevel="1" x14ac:dyDescent="0.2">
      <c r="A7" s="361" t="s">
        <v>25</v>
      </c>
      <c r="B7" s="362"/>
      <c r="C7" s="479">
        <f t="shared" ref="C7:J7" si="0">AVERAGEA(C18:C22)</f>
        <v>2093.886</v>
      </c>
      <c r="D7" s="479">
        <f t="shared" si="0"/>
        <v>547.61</v>
      </c>
      <c r="E7" s="479">
        <f t="shared" si="0"/>
        <v>81.825000000000003</v>
      </c>
      <c r="F7" s="479">
        <f t="shared" si="0"/>
        <v>84.667500000000004</v>
      </c>
      <c r="G7" s="479">
        <f t="shared" si="0"/>
        <v>202.48500000000001</v>
      </c>
      <c r="H7" s="479">
        <f t="shared" si="0"/>
        <v>42.540000000000006</v>
      </c>
      <c r="I7" s="479">
        <f t="shared" si="0"/>
        <v>136.38750000000002</v>
      </c>
      <c r="J7" s="480">
        <f t="shared" si="0"/>
        <v>7.0950000000000006</v>
      </c>
    </row>
    <row r="8" spans="1:10" ht="15" hidden="1" customHeight="1" outlineLevel="1" x14ac:dyDescent="0.2">
      <c r="A8" s="65" t="s">
        <v>26</v>
      </c>
      <c r="B8" s="66"/>
      <c r="C8" s="481">
        <f t="shared" ref="C8:J8" si="1">AVERAGEA(C23:C27)</f>
        <v>1214.9955</v>
      </c>
      <c r="D8" s="481">
        <f t="shared" si="1"/>
        <v>508.75599999999997</v>
      </c>
      <c r="E8" s="481">
        <f t="shared" si="1"/>
        <v>84.998999999999995</v>
      </c>
      <c r="F8" s="481">
        <f t="shared" si="1"/>
        <v>92.916000000000011</v>
      </c>
      <c r="G8" s="481">
        <f t="shared" si="1"/>
        <v>199.68599999999998</v>
      </c>
      <c r="H8" s="481">
        <f t="shared" si="1"/>
        <v>50.796300000000002</v>
      </c>
      <c r="I8" s="481">
        <f t="shared" si="1"/>
        <v>102.89149</v>
      </c>
      <c r="J8" s="482">
        <f t="shared" si="1"/>
        <v>5.8970000000000002</v>
      </c>
    </row>
    <row r="9" spans="1:10" ht="15" customHeight="1" x14ac:dyDescent="0.2">
      <c r="A9" s="65" t="s">
        <v>111</v>
      </c>
      <c r="B9" s="66"/>
      <c r="C9" s="481">
        <f>SUM(C28:C32)</f>
        <v>5310.18</v>
      </c>
      <c r="D9" s="481">
        <f>SUM(D28:D32)</f>
        <v>2257.75</v>
      </c>
      <c r="E9" s="481">
        <f t="shared" ref="E9:J9" si="2">SUM(E28:E32)</f>
        <v>640.83999999999992</v>
      </c>
      <c r="F9" s="481">
        <f t="shared" si="2"/>
        <v>464.01</v>
      </c>
      <c r="G9" s="481">
        <f t="shared" si="2"/>
        <v>1049.8600000000001</v>
      </c>
      <c r="H9" s="481">
        <f t="shared" si="2"/>
        <v>190.95000000000002</v>
      </c>
      <c r="I9" s="481">
        <f t="shared" si="2"/>
        <v>648.04999999999995</v>
      </c>
      <c r="J9" s="482">
        <f t="shared" si="2"/>
        <v>58.72</v>
      </c>
    </row>
    <row r="10" spans="1:10" ht="15" customHeight="1" x14ac:dyDescent="0.2">
      <c r="A10" s="451" t="s">
        <v>121</v>
      </c>
      <c r="B10" s="66"/>
      <c r="C10" s="481">
        <f>SUM(C33:C37)</f>
        <v>4664.3420000000006</v>
      </c>
      <c r="D10" s="481">
        <f>SUM(D33:D37)</f>
        <v>2325.0100000000002</v>
      </c>
      <c r="E10" s="481">
        <f t="shared" ref="E10:J10" si="3">SUM(E33:E37)</f>
        <v>590.91999999999996</v>
      </c>
      <c r="F10" s="481">
        <f t="shared" si="3"/>
        <v>289.89</v>
      </c>
      <c r="G10" s="481">
        <f t="shared" si="3"/>
        <v>591.58000000000004</v>
      </c>
      <c r="H10" s="481">
        <f t="shared" si="3"/>
        <v>118.13199999999999</v>
      </c>
      <c r="I10" s="481">
        <f t="shared" si="3"/>
        <v>663.30000000000007</v>
      </c>
      <c r="J10" s="482">
        <f t="shared" si="3"/>
        <v>85.51</v>
      </c>
    </row>
    <row r="11" spans="1:10" ht="15" customHeight="1" x14ac:dyDescent="0.2">
      <c r="A11" s="830" t="s">
        <v>122</v>
      </c>
      <c r="B11" s="831"/>
      <c r="C11" s="481">
        <f>SUM(C38:C42)</f>
        <v>3742.52</v>
      </c>
      <c r="D11" s="481">
        <f>SUM(D38:D42)</f>
        <v>2270.2799999999997</v>
      </c>
      <c r="E11" s="481">
        <f t="shared" ref="E11:J11" si="4">SUM(E38:E42)</f>
        <v>455.83000000000004</v>
      </c>
      <c r="F11" s="481">
        <f t="shared" si="4"/>
        <v>91.27</v>
      </c>
      <c r="G11" s="481">
        <f t="shared" si="4"/>
        <v>472.06999999999994</v>
      </c>
      <c r="H11" s="481">
        <f t="shared" si="4"/>
        <v>119.62</v>
      </c>
      <c r="I11" s="481">
        <f t="shared" si="4"/>
        <v>307.82</v>
      </c>
      <c r="J11" s="482">
        <f t="shared" si="4"/>
        <v>25.630000000000003</v>
      </c>
    </row>
    <row r="12" spans="1:10" ht="15" customHeight="1" x14ac:dyDescent="0.2">
      <c r="A12" s="830" t="s">
        <v>133</v>
      </c>
      <c r="B12" s="831"/>
      <c r="C12" s="481">
        <f>SUM(C43:C47)</f>
        <v>4271.5999999999995</v>
      </c>
      <c r="D12" s="481">
        <f>SUM(D43:D47)</f>
        <v>2740.8099999999995</v>
      </c>
      <c r="E12" s="481">
        <f t="shared" ref="E12:J12" si="5">SUM(E43:E47)</f>
        <v>388.81000000000006</v>
      </c>
      <c r="F12" s="481">
        <f t="shared" si="5"/>
        <v>124.06</v>
      </c>
      <c r="G12" s="481">
        <f t="shared" si="5"/>
        <v>619.48</v>
      </c>
      <c r="H12" s="481">
        <f t="shared" si="5"/>
        <v>74.36</v>
      </c>
      <c r="I12" s="481">
        <f t="shared" si="5"/>
        <v>302.75000000000006</v>
      </c>
      <c r="J12" s="482">
        <f t="shared" si="5"/>
        <v>21.330000000000002</v>
      </c>
    </row>
    <row r="13" spans="1:10" ht="15" customHeight="1" x14ac:dyDescent="0.2">
      <c r="A13" s="830" t="s">
        <v>148</v>
      </c>
      <c r="B13" s="831"/>
      <c r="C13" s="481">
        <f>SUM(C48:C52)</f>
        <v>1930.72</v>
      </c>
      <c r="D13" s="481">
        <f>SUM(D48:D52)</f>
        <v>963.31000000000006</v>
      </c>
      <c r="E13" s="481">
        <f t="shared" ref="E13:J13" si="6">SUM(E48:E52)</f>
        <v>352.95</v>
      </c>
      <c r="F13" s="481">
        <f t="shared" si="6"/>
        <v>49.08</v>
      </c>
      <c r="G13" s="481">
        <f t="shared" si="6"/>
        <v>364.96000000000004</v>
      </c>
      <c r="H13" s="481">
        <f t="shared" si="6"/>
        <v>16.3</v>
      </c>
      <c r="I13" s="481">
        <f t="shared" si="6"/>
        <v>172.28</v>
      </c>
      <c r="J13" s="482">
        <f t="shared" si="6"/>
        <v>11.840000000000002</v>
      </c>
    </row>
    <row r="14" spans="1:10" ht="15" customHeight="1" collapsed="1" x14ac:dyDescent="0.2">
      <c r="A14" s="830" t="s">
        <v>149</v>
      </c>
      <c r="B14" s="831"/>
      <c r="C14" s="481">
        <f>SUM(C53:C57)</f>
        <v>2187.8200000000002</v>
      </c>
      <c r="D14" s="481">
        <f>SUM(D53:D57)</f>
        <v>971.05</v>
      </c>
      <c r="E14" s="481">
        <f t="shared" ref="E14:J14" si="7">SUM(E53:E57)</f>
        <v>628.27</v>
      </c>
      <c r="F14" s="481">
        <f t="shared" si="7"/>
        <v>69.040000000000006</v>
      </c>
      <c r="G14" s="481">
        <f t="shared" si="7"/>
        <v>394.34000000000003</v>
      </c>
      <c r="H14" s="481">
        <f t="shared" si="7"/>
        <v>40.49</v>
      </c>
      <c r="I14" s="481">
        <f t="shared" si="7"/>
        <v>67.45</v>
      </c>
      <c r="J14" s="482">
        <f t="shared" si="7"/>
        <v>17.18</v>
      </c>
    </row>
    <row r="15" spans="1:10" ht="15" hidden="1" customHeight="1" outlineLevel="1" x14ac:dyDescent="0.2">
      <c r="A15" s="72">
        <v>1994</v>
      </c>
      <c r="B15" s="70"/>
      <c r="C15" s="481">
        <f t="shared" ref="C15:C22" si="8">SUM(C46:C50)</f>
        <v>2293.6899999999996</v>
      </c>
      <c r="D15" s="418"/>
      <c r="E15" s="418"/>
      <c r="F15" s="418"/>
      <c r="G15" s="418"/>
      <c r="H15" s="418"/>
      <c r="I15" s="418"/>
      <c r="J15" s="419"/>
    </row>
    <row r="16" spans="1:10" ht="12.75" hidden="1" customHeight="1" outlineLevel="1" x14ac:dyDescent="0.2">
      <c r="A16" s="69" t="s">
        <v>27</v>
      </c>
      <c r="B16" s="70"/>
      <c r="C16" s="481">
        <f t="shared" si="8"/>
        <v>2236.58</v>
      </c>
      <c r="D16" s="418">
        <v>288.35000000000002</v>
      </c>
      <c r="E16" s="418">
        <v>52.78</v>
      </c>
      <c r="F16" s="418">
        <v>131.88</v>
      </c>
      <c r="G16" s="418">
        <v>243.79</v>
      </c>
      <c r="H16" s="418">
        <v>27.36</v>
      </c>
      <c r="I16" s="418">
        <v>87.99</v>
      </c>
      <c r="J16" s="419">
        <v>8.1</v>
      </c>
    </row>
    <row r="17" spans="1:10" ht="12.75" hidden="1" customHeight="1" outlineLevel="1" x14ac:dyDescent="0.2">
      <c r="A17" s="69" t="s">
        <v>28</v>
      </c>
      <c r="B17" s="70"/>
      <c r="C17" s="481">
        <f t="shared" si="8"/>
        <v>1930.72</v>
      </c>
      <c r="D17" s="418">
        <v>533.01</v>
      </c>
      <c r="E17" s="418">
        <v>103.37</v>
      </c>
      <c r="F17" s="418">
        <v>82.03</v>
      </c>
      <c r="G17" s="418">
        <v>157.56</v>
      </c>
      <c r="H17" s="418">
        <v>115.62</v>
      </c>
      <c r="I17" s="418">
        <v>98.03</v>
      </c>
      <c r="J17" s="419">
        <v>24.28</v>
      </c>
    </row>
    <row r="18" spans="1:10" ht="12.75" hidden="1" customHeight="1" outlineLevel="1" x14ac:dyDescent="0.2">
      <c r="A18" s="41" t="s">
        <v>29</v>
      </c>
      <c r="B18" s="70"/>
      <c r="C18" s="481">
        <f t="shared" si="8"/>
        <v>2204.36</v>
      </c>
      <c r="D18" s="418">
        <v>775.62</v>
      </c>
      <c r="E18" s="418">
        <v>110.66</v>
      </c>
      <c r="F18" s="418">
        <v>43.13</v>
      </c>
      <c r="G18" s="418">
        <v>75.099999999999994</v>
      </c>
      <c r="H18" s="418">
        <v>30.98</v>
      </c>
      <c r="I18" s="418">
        <v>189.94</v>
      </c>
      <c r="J18" s="419">
        <v>4.8</v>
      </c>
    </row>
    <row r="19" spans="1:10" ht="12.75" hidden="1" customHeight="1" outlineLevel="1" x14ac:dyDescent="0.2">
      <c r="A19" s="71" t="s">
        <v>30</v>
      </c>
      <c r="B19" s="70"/>
      <c r="C19" s="481">
        <f t="shared" si="8"/>
        <v>2155.35</v>
      </c>
      <c r="D19" s="418">
        <v>766.49</v>
      </c>
      <c r="E19" s="418">
        <v>84.51</v>
      </c>
      <c r="F19" s="418">
        <v>82.23</v>
      </c>
      <c r="G19" s="418">
        <v>326.66000000000003</v>
      </c>
      <c r="H19" s="418">
        <v>81.97</v>
      </c>
      <c r="I19" s="418">
        <v>204.53</v>
      </c>
      <c r="J19" s="419">
        <v>1.25</v>
      </c>
    </row>
    <row r="20" spans="1:10" ht="15.75" hidden="1" customHeight="1" outlineLevel="1" x14ac:dyDescent="0.2">
      <c r="A20" s="72">
        <v>1995</v>
      </c>
      <c r="B20" s="70"/>
      <c r="C20" s="481">
        <f t="shared" si="8"/>
        <v>2155.35</v>
      </c>
      <c r="D20" s="418"/>
      <c r="E20" s="418"/>
      <c r="F20" s="418"/>
      <c r="G20" s="418"/>
      <c r="H20" s="418"/>
      <c r="I20" s="418"/>
      <c r="J20" s="419"/>
    </row>
    <row r="21" spans="1:10" ht="15" hidden="1" customHeight="1" outlineLevel="1" x14ac:dyDescent="0.2">
      <c r="A21" s="300" t="s">
        <v>27</v>
      </c>
      <c r="B21" s="70"/>
      <c r="C21" s="481">
        <f t="shared" si="8"/>
        <v>1766.5500000000002</v>
      </c>
      <c r="D21" s="418">
        <v>344.31</v>
      </c>
      <c r="E21" s="418">
        <v>56.09</v>
      </c>
      <c r="F21" s="418">
        <v>138.86000000000001</v>
      </c>
      <c r="G21" s="418">
        <v>208.11</v>
      </c>
      <c r="H21" s="418">
        <v>36.409999999999997</v>
      </c>
      <c r="I21" s="418">
        <v>86.06</v>
      </c>
      <c r="J21" s="419">
        <v>5.44</v>
      </c>
    </row>
    <row r="22" spans="1:10" ht="15" hidden="1" customHeight="1" outlineLevel="1" x14ac:dyDescent="0.2">
      <c r="A22" s="300" t="s">
        <v>28</v>
      </c>
      <c r="B22" s="70"/>
      <c r="C22" s="481">
        <f t="shared" si="8"/>
        <v>2187.8200000000002</v>
      </c>
      <c r="D22" s="418">
        <v>304.02</v>
      </c>
      <c r="E22" s="418">
        <v>76.040000000000006</v>
      </c>
      <c r="F22" s="418">
        <v>74.45</v>
      </c>
      <c r="G22" s="418">
        <v>200.07</v>
      </c>
      <c r="H22" s="418">
        <v>20.8</v>
      </c>
      <c r="I22" s="418">
        <v>65.02</v>
      </c>
      <c r="J22" s="419">
        <v>16.89</v>
      </c>
    </row>
    <row r="23" spans="1:10" ht="15" hidden="1" customHeight="1" outlineLevel="1" x14ac:dyDescent="0.2">
      <c r="A23" s="300" t="s">
        <v>29</v>
      </c>
      <c r="B23" s="70"/>
      <c r="C23" s="481">
        <f>SUM(C54:C60)</f>
        <v>1863.5600000000002</v>
      </c>
      <c r="D23" s="418">
        <v>539.32799999999997</v>
      </c>
      <c r="E23" s="418">
        <v>91.655999999999992</v>
      </c>
      <c r="F23" s="418">
        <v>83.304000000000002</v>
      </c>
      <c r="G23" s="418">
        <v>84.108000000000004</v>
      </c>
      <c r="H23" s="418">
        <v>26.869200000000003</v>
      </c>
      <c r="I23" s="418">
        <v>163.02395999999999</v>
      </c>
      <c r="J23" s="419">
        <v>7.9080000000000004</v>
      </c>
    </row>
    <row r="24" spans="1:10" ht="15" hidden="1" customHeight="1" outlineLevel="1" x14ac:dyDescent="0.2">
      <c r="A24" s="300" t="s">
        <v>30</v>
      </c>
      <c r="B24" s="70"/>
      <c r="C24" s="481">
        <f>SUM(C55:C61)</f>
        <v>1380.04</v>
      </c>
      <c r="D24" s="418">
        <v>760.41599999999994</v>
      </c>
      <c r="E24" s="418">
        <v>108.9</v>
      </c>
      <c r="F24" s="418">
        <v>96.88</v>
      </c>
      <c r="G24" s="418">
        <v>403.59599999999995</v>
      </c>
      <c r="H24" s="418">
        <v>90.683999999999997</v>
      </c>
      <c r="I24" s="418">
        <v>109.212</v>
      </c>
      <c r="J24" s="419">
        <v>1.5</v>
      </c>
    </row>
    <row r="25" spans="1:10" ht="15" customHeight="1" x14ac:dyDescent="0.2">
      <c r="A25" s="72">
        <v>1996</v>
      </c>
      <c r="B25" s="70"/>
      <c r="C25" s="421"/>
      <c r="D25" s="422"/>
      <c r="E25" s="422"/>
      <c r="F25" s="422"/>
      <c r="G25" s="422"/>
      <c r="H25" s="422"/>
      <c r="I25" s="422"/>
      <c r="J25" s="419"/>
    </row>
    <row r="26" spans="1:10" ht="15" customHeight="1" x14ac:dyDescent="0.2">
      <c r="A26" s="300" t="s">
        <v>27</v>
      </c>
      <c r="B26" s="70"/>
      <c r="C26" s="404">
        <v>853.26200000000006</v>
      </c>
      <c r="D26" s="418">
        <v>344.45</v>
      </c>
      <c r="E26" s="418">
        <v>43.82</v>
      </c>
      <c r="F26" s="418">
        <v>134.19</v>
      </c>
      <c r="G26" s="418">
        <v>200.92</v>
      </c>
      <c r="H26" s="418">
        <v>40.421999999999997</v>
      </c>
      <c r="I26" s="418">
        <v>86.04</v>
      </c>
      <c r="J26" s="419">
        <v>3.42</v>
      </c>
    </row>
    <row r="27" spans="1:10" s="279" customFormat="1" ht="15" customHeight="1" x14ac:dyDescent="0.2">
      <c r="A27" s="300" t="s">
        <v>28</v>
      </c>
      <c r="B27" s="70"/>
      <c r="C27" s="404">
        <v>763.12</v>
      </c>
      <c r="D27" s="418">
        <v>390.83</v>
      </c>
      <c r="E27" s="418">
        <v>95.62</v>
      </c>
      <c r="F27" s="418">
        <v>57.29</v>
      </c>
      <c r="G27" s="418">
        <v>110.12</v>
      </c>
      <c r="H27" s="418">
        <v>45.21</v>
      </c>
      <c r="I27" s="418">
        <v>53.29</v>
      </c>
      <c r="J27" s="419">
        <v>10.76</v>
      </c>
    </row>
    <row r="28" spans="1:10" s="279" customFormat="1" ht="15" customHeight="1" x14ac:dyDescent="0.2">
      <c r="A28" s="300" t="s">
        <v>29</v>
      </c>
      <c r="B28" s="70"/>
      <c r="C28" s="404">
        <v>1242.22</v>
      </c>
      <c r="D28" s="418">
        <v>610.13</v>
      </c>
      <c r="E28" s="418">
        <v>160.71</v>
      </c>
      <c r="F28" s="418">
        <v>98.39</v>
      </c>
      <c r="G28" s="418">
        <v>140.38</v>
      </c>
      <c r="H28" s="418">
        <v>42.55</v>
      </c>
      <c r="I28" s="418">
        <v>186.97</v>
      </c>
      <c r="J28" s="419">
        <v>3.09</v>
      </c>
    </row>
    <row r="29" spans="1:10" s="279" customFormat="1" ht="15" customHeight="1" x14ac:dyDescent="0.2">
      <c r="A29" s="300" t="s">
        <v>30</v>
      </c>
      <c r="B29" s="70"/>
      <c r="C29" s="404">
        <v>1801.91</v>
      </c>
      <c r="D29" s="418">
        <v>656.98</v>
      </c>
      <c r="E29" s="418">
        <v>122.73</v>
      </c>
      <c r="F29" s="418">
        <v>112.5</v>
      </c>
      <c r="G29" s="418">
        <v>580.45000000000005</v>
      </c>
      <c r="H29" s="418">
        <v>47.78</v>
      </c>
      <c r="I29" s="418">
        <v>279.42</v>
      </c>
      <c r="J29" s="419">
        <v>2.0499999999999998</v>
      </c>
    </row>
    <row r="30" spans="1:10" s="279" customFormat="1" ht="15" customHeight="1" x14ac:dyDescent="0.2">
      <c r="A30" s="72">
        <v>1997</v>
      </c>
      <c r="B30" s="70"/>
      <c r="C30" s="402"/>
      <c r="D30" s="402"/>
      <c r="E30" s="402"/>
      <c r="F30" s="402"/>
      <c r="G30" s="402"/>
      <c r="H30" s="402"/>
      <c r="I30" s="402"/>
      <c r="J30" s="403"/>
    </row>
    <row r="31" spans="1:10" s="279" customFormat="1" ht="15" customHeight="1" x14ac:dyDescent="0.2">
      <c r="A31" s="300" t="s">
        <v>27</v>
      </c>
      <c r="B31" s="70"/>
      <c r="C31" s="404">
        <v>1141.6300000000001</v>
      </c>
      <c r="D31" s="418">
        <v>390.55</v>
      </c>
      <c r="E31" s="418">
        <v>168.34</v>
      </c>
      <c r="F31" s="418">
        <v>207.53</v>
      </c>
      <c r="G31" s="418">
        <v>225.71</v>
      </c>
      <c r="H31" s="418">
        <v>58.35</v>
      </c>
      <c r="I31" s="418">
        <v>75.13</v>
      </c>
      <c r="J31" s="419">
        <v>16.02</v>
      </c>
    </row>
    <row r="32" spans="1:10" s="279" customFormat="1" ht="15" customHeight="1" x14ac:dyDescent="0.2">
      <c r="A32" s="300" t="s">
        <v>28</v>
      </c>
      <c r="B32" s="70"/>
      <c r="C32" s="404">
        <v>1124.42</v>
      </c>
      <c r="D32" s="418">
        <v>600.09</v>
      </c>
      <c r="E32" s="418">
        <v>189.06</v>
      </c>
      <c r="F32" s="418">
        <v>45.59</v>
      </c>
      <c r="G32" s="418">
        <v>103.32</v>
      </c>
      <c r="H32" s="418">
        <v>42.27</v>
      </c>
      <c r="I32" s="418">
        <v>106.53</v>
      </c>
      <c r="J32" s="419">
        <v>37.56</v>
      </c>
    </row>
    <row r="33" spans="1:10" s="279" customFormat="1" ht="15" customHeight="1" x14ac:dyDescent="0.2">
      <c r="A33" s="300" t="s">
        <v>29</v>
      </c>
      <c r="B33" s="70"/>
      <c r="C33" s="404">
        <v>800.44200000000001</v>
      </c>
      <c r="D33" s="418">
        <v>515.33000000000004</v>
      </c>
      <c r="E33" s="418">
        <v>21.06</v>
      </c>
      <c r="F33" s="418">
        <v>6.01</v>
      </c>
      <c r="G33" s="418">
        <v>43.53</v>
      </c>
      <c r="H33" s="418">
        <v>20.721999999999998</v>
      </c>
      <c r="I33" s="418">
        <v>193.02</v>
      </c>
      <c r="J33" s="419">
        <v>0.77</v>
      </c>
    </row>
    <row r="34" spans="1:10" s="279" customFormat="1" ht="15" customHeight="1" x14ac:dyDescent="0.2">
      <c r="A34" s="300" t="s">
        <v>30</v>
      </c>
      <c r="B34" s="70"/>
      <c r="C34" s="404">
        <v>2320.8000000000002</v>
      </c>
      <c r="D34" s="418">
        <v>1076.1400000000001</v>
      </c>
      <c r="E34" s="418">
        <v>319.58</v>
      </c>
      <c r="F34" s="418">
        <v>141</v>
      </c>
      <c r="G34" s="418">
        <v>358.66</v>
      </c>
      <c r="H34" s="418">
        <v>50.42</v>
      </c>
      <c r="I34" s="418">
        <v>329.8</v>
      </c>
      <c r="J34" s="419">
        <v>45.2</v>
      </c>
    </row>
    <row r="35" spans="1:10" s="279" customFormat="1" ht="15" customHeight="1" x14ac:dyDescent="0.2">
      <c r="A35" s="72">
        <v>1998</v>
      </c>
      <c r="B35" s="70"/>
      <c r="C35" s="402"/>
      <c r="D35" s="402"/>
      <c r="E35" s="402"/>
      <c r="F35" s="402"/>
      <c r="G35" s="402"/>
      <c r="H35" s="402"/>
      <c r="I35" s="402"/>
      <c r="J35" s="403"/>
    </row>
    <row r="36" spans="1:10" s="279" customFormat="1" ht="15" customHeight="1" x14ac:dyDescent="0.2">
      <c r="A36" s="300" t="s">
        <v>27</v>
      </c>
      <c r="B36" s="70"/>
      <c r="C36" s="404">
        <v>986.27</v>
      </c>
      <c r="D36" s="418">
        <v>514.04</v>
      </c>
      <c r="E36" s="418">
        <v>163.95</v>
      </c>
      <c r="F36" s="418">
        <v>101.85</v>
      </c>
      <c r="G36" s="418">
        <v>95.22</v>
      </c>
      <c r="H36" s="418">
        <v>22.63</v>
      </c>
      <c r="I36" s="418">
        <v>76.599999999999994</v>
      </c>
      <c r="J36" s="419">
        <v>11.98</v>
      </c>
    </row>
    <row r="37" spans="1:10" s="279" customFormat="1" ht="15" customHeight="1" x14ac:dyDescent="0.2">
      <c r="A37" s="300" t="s">
        <v>28</v>
      </c>
      <c r="B37" s="70"/>
      <c r="C37" s="404">
        <v>556.83000000000004</v>
      </c>
      <c r="D37" s="418">
        <v>219.5</v>
      </c>
      <c r="E37" s="418">
        <v>86.33</v>
      </c>
      <c r="F37" s="418">
        <v>41.03</v>
      </c>
      <c r="G37" s="418">
        <v>94.17</v>
      </c>
      <c r="H37" s="418">
        <v>24.36</v>
      </c>
      <c r="I37" s="418">
        <v>63.88</v>
      </c>
      <c r="J37" s="419">
        <v>27.56</v>
      </c>
    </row>
    <row r="38" spans="1:10" s="279" customFormat="1" ht="15" customHeight="1" x14ac:dyDescent="0.2">
      <c r="A38" s="300" t="s">
        <v>29</v>
      </c>
      <c r="B38" s="70"/>
      <c r="C38" s="404">
        <v>768.97</v>
      </c>
      <c r="D38" s="418">
        <v>430.43</v>
      </c>
      <c r="E38" s="418">
        <v>104.48</v>
      </c>
      <c r="F38" s="418">
        <v>21.2</v>
      </c>
      <c r="G38" s="418">
        <v>100.13</v>
      </c>
      <c r="H38" s="418">
        <v>16.05</v>
      </c>
      <c r="I38" s="418">
        <v>94.57</v>
      </c>
      <c r="J38" s="419">
        <v>2.11</v>
      </c>
    </row>
    <row r="39" spans="1:10" s="279" customFormat="1" ht="15" customHeight="1" x14ac:dyDescent="0.2">
      <c r="A39" s="300" t="s">
        <v>30</v>
      </c>
      <c r="B39" s="70"/>
      <c r="C39" s="404">
        <v>891.9</v>
      </c>
      <c r="D39" s="418">
        <v>505.78</v>
      </c>
      <c r="E39" s="418">
        <v>73.010000000000005</v>
      </c>
      <c r="F39" s="418">
        <v>37.75</v>
      </c>
      <c r="G39" s="418">
        <v>135.85</v>
      </c>
      <c r="H39" s="418">
        <v>50.09</v>
      </c>
      <c r="I39" s="418">
        <v>75.59</v>
      </c>
      <c r="J39" s="419">
        <v>13.83</v>
      </c>
    </row>
    <row r="40" spans="1:10" s="279" customFormat="1" ht="15" customHeight="1" x14ac:dyDescent="0.2">
      <c r="A40" s="72">
        <v>1999</v>
      </c>
      <c r="B40" s="70"/>
      <c r="C40" s="402"/>
      <c r="D40" s="402"/>
      <c r="E40" s="402"/>
      <c r="F40" s="402"/>
      <c r="G40" s="402"/>
      <c r="H40" s="402"/>
      <c r="I40" s="402"/>
      <c r="J40" s="403"/>
    </row>
    <row r="41" spans="1:10" s="279" customFormat="1" ht="15" customHeight="1" x14ac:dyDescent="0.2">
      <c r="A41" s="300" t="s">
        <v>27</v>
      </c>
      <c r="B41" s="70"/>
      <c r="C41" s="404">
        <v>1050.17</v>
      </c>
      <c r="D41" s="418">
        <v>623.83000000000004</v>
      </c>
      <c r="E41" s="418">
        <v>142.58000000000001</v>
      </c>
      <c r="F41" s="418">
        <v>12.43</v>
      </c>
      <c r="G41" s="418">
        <v>156.68</v>
      </c>
      <c r="H41" s="418">
        <v>25.69</v>
      </c>
      <c r="I41" s="418">
        <v>81.94</v>
      </c>
      <c r="J41" s="419">
        <v>7.02</v>
      </c>
    </row>
    <row r="42" spans="1:10" s="279" customFormat="1" ht="15" customHeight="1" x14ac:dyDescent="0.2">
      <c r="A42" s="300" t="s">
        <v>28</v>
      </c>
      <c r="B42" s="70"/>
      <c r="C42" s="404">
        <v>1031.48</v>
      </c>
      <c r="D42" s="418">
        <v>710.24</v>
      </c>
      <c r="E42" s="418">
        <v>135.76</v>
      </c>
      <c r="F42" s="418">
        <v>19.89</v>
      </c>
      <c r="G42" s="418">
        <v>79.41</v>
      </c>
      <c r="H42" s="418">
        <v>27.79</v>
      </c>
      <c r="I42" s="418">
        <v>55.72</v>
      </c>
      <c r="J42" s="419">
        <v>2.67</v>
      </c>
    </row>
    <row r="43" spans="1:10" s="279" customFormat="1" ht="15" customHeight="1" x14ac:dyDescent="0.2">
      <c r="A43" s="300" t="s">
        <v>29</v>
      </c>
      <c r="B43" s="70"/>
      <c r="C43" s="404">
        <v>1471.16</v>
      </c>
      <c r="D43" s="418">
        <v>1051.47</v>
      </c>
      <c r="E43" s="418">
        <v>169</v>
      </c>
      <c r="F43" s="418">
        <v>7.83</v>
      </c>
      <c r="G43" s="418">
        <v>65.14</v>
      </c>
      <c r="H43" s="418">
        <v>32.64</v>
      </c>
      <c r="I43" s="418">
        <v>137.49</v>
      </c>
      <c r="J43" s="419">
        <v>7.59</v>
      </c>
    </row>
    <row r="44" spans="1:10" s="279" customFormat="1" ht="15" customHeight="1" x14ac:dyDescent="0.2">
      <c r="A44" s="300" t="s">
        <v>30</v>
      </c>
      <c r="B44" s="70"/>
      <c r="C44" s="404">
        <v>1586.79</v>
      </c>
      <c r="D44" s="418">
        <v>985.07</v>
      </c>
      <c r="E44" s="418">
        <v>113.42</v>
      </c>
      <c r="F44" s="418">
        <v>35.36</v>
      </c>
      <c r="G44" s="418">
        <v>315.64999999999998</v>
      </c>
      <c r="H44" s="418">
        <v>34.08</v>
      </c>
      <c r="I44" s="418">
        <v>101.24</v>
      </c>
      <c r="J44" s="419">
        <v>1.97</v>
      </c>
    </row>
    <row r="45" spans="1:10" s="279" customFormat="1" ht="15" customHeight="1" x14ac:dyDescent="0.2">
      <c r="A45" s="72">
        <v>2000</v>
      </c>
      <c r="B45" s="70"/>
      <c r="C45" s="402"/>
      <c r="D45" s="402"/>
      <c r="E45" s="402"/>
      <c r="F45" s="402"/>
      <c r="G45" s="402"/>
      <c r="H45" s="402"/>
      <c r="I45" s="402"/>
      <c r="J45" s="403"/>
    </row>
    <row r="46" spans="1:10" s="279" customFormat="1" ht="15" customHeight="1" x14ac:dyDescent="0.2">
      <c r="A46" s="300" t="s">
        <v>27</v>
      </c>
      <c r="B46" s="70"/>
      <c r="C46" s="404">
        <v>725.56</v>
      </c>
      <c r="D46" s="418">
        <v>356.74</v>
      </c>
      <c r="E46" s="418">
        <v>49.11</v>
      </c>
      <c r="F46" s="418">
        <v>72.900000000000006</v>
      </c>
      <c r="G46" s="418">
        <v>192.97</v>
      </c>
      <c r="H46" s="418">
        <v>4.6100000000000003</v>
      </c>
      <c r="I46" s="418">
        <v>42.85</v>
      </c>
      <c r="J46" s="419">
        <v>6.38</v>
      </c>
    </row>
    <row r="47" spans="1:10" s="279" customFormat="1" ht="15" customHeight="1" x14ac:dyDescent="0.2">
      <c r="A47" s="300" t="s">
        <v>28</v>
      </c>
      <c r="B47" s="70"/>
      <c r="C47" s="404">
        <v>488.09</v>
      </c>
      <c r="D47" s="418">
        <v>347.53</v>
      </c>
      <c r="E47" s="418">
        <v>57.28</v>
      </c>
      <c r="F47" s="418">
        <v>7.97</v>
      </c>
      <c r="G47" s="418">
        <v>45.72</v>
      </c>
      <c r="H47" s="418">
        <v>3.03</v>
      </c>
      <c r="I47" s="418">
        <v>21.17</v>
      </c>
      <c r="J47" s="419">
        <v>5.39</v>
      </c>
    </row>
    <row r="48" spans="1:10" s="279" customFormat="1" ht="15" customHeight="1" x14ac:dyDescent="0.2">
      <c r="A48" s="300" t="s">
        <v>29</v>
      </c>
      <c r="B48" s="70"/>
      <c r="C48" s="404">
        <v>547.51</v>
      </c>
      <c r="D48" s="418">
        <v>390.61</v>
      </c>
      <c r="E48" s="418">
        <v>53.45</v>
      </c>
      <c r="F48" s="418">
        <v>5.9</v>
      </c>
      <c r="G48" s="418">
        <v>42.3</v>
      </c>
      <c r="H48" s="418">
        <v>1.28</v>
      </c>
      <c r="I48" s="418">
        <v>53.92</v>
      </c>
      <c r="J48" s="419">
        <v>0.05</v>
      </c>
    </row>
    <row r="49" spans="1:11" s="279" customFormat="1" ht="15" customHeight="1" x14ac:dyDescent="0.2">
      <c r="A49" s="300" t="s">
        <v>30</v>
      </c>
      <c r="B49" s="70"/>
      <c r="C49" s="404">
        <v>532.53</v>
      </c>
      <c r="D49" s="418">
        <v>291.31</v>
      </c>
      <c r="E49" s="418">
        <v>43.91</v>
      </c>
      <c r="F49" s="418">
        <v>5.8</v>
      </c>
      <c r="G49" s="418">
        <v>105.48</v>
      </c>
      <c r="H49" s="418">
        <v>9.15</v>
      </c>
      <c r="I49" s="418">
        <v>75.94</v>
      </c>
      <c r="J49" s="419">
        <v>0.94</v>
      </c>
    </row>
    <row r="50" spans="1:11" s="279" customFormat="1" ht="15" customHeight="1" x14ac:dyDescent="0.2">
      <c r="A50" s="72">
        <v>2001</v>
      </c>
      <c r="B50" s="70"/>
      <c r="C50" s="404"/>
      <c r="D50" s="418"/>
      <c r="E50" s="418"/>
      <c r="F50" s="418"/>
      <c r="G50" s="418"/>
      <c r="H50" s="418"/>
      <c r="I50" s="418"/>
      <c r="J50" s="419"/>
    </row>
    <row r="51" spans="1:11" s="279" customFormat="1" ht="15" customHeight="1" x14ac:dyDescent="0.2">
      <c r="A51" s="300" t="s">
        <v>27</v>
      </c>
      <c r="B51" s="70"/>
      <c r="C51" s="404">
        <v>668.45</v>
      </c>
      <c r="D51" s="418">
        <v>165.63</v>
      </c>
      <c r="E51" s="418">
        <v>242.94</v>
      </c>
      <c r="F51" s="418">
        <v>27.57</v>
      </c>
      <c r="G51" s="418">
        <v>195.55</v>
      </c>
      <c r="H51" s="418">
        <v>2.2599999999999998</v>
      </c>
      <c r="I51" s="418">
        <v>24.95</v>
      </c>
      <c r="J51" s="419">
        <v>9.5500000000000007</v>
      </c>
      <c r="K51" s="502"/>
    </row>
    <row r="52" spans="1:11" s="279" customFormat="1" ht="15" customHeight="1" x14ac:dyDescent="0.2">
      <c r="A52" s="300" t="s">
        <v>28</v>
      </c>
      <c r="B52" s="70"/>
      <c r="C52" s="404">
        <v>182.23</v>
      </c>
      <c r="D52" s="418">
        <v>115.76</v>
      </c>
      <c r="E52" s="418">
        <v>12.65</v>
      </c>
      <c r="F52" s="418">
        <v>9.81</v>
      </c>
      <c r="G52" s="418">
        <v>21.63</v>
      </c>
      <c r="H52" s="418">
        <v>3.61</v>
      </c>
      <c r="I52" s="418">
        <v>17.47</v>
      </c>
      <c r="J52" s="419">
        <v>1.3</v>
      </c>
      <c r="K52" s="502"/>
    </row>
    <row r="53" spans="1:11" s="279" customFormat="1" ht="15" customHeight="1" x14ac:dyDescent="0.2">
      <c r="A53" s="300" t="s">
        <v>29</v>
      </c>
      <c r="B53" s="70"/>
      <c r="C53" s="404">
        <v>821.15</v>
      </c>
      <c r="D53" s="418">
        <v>250</v>
      </c>
      <c r="E53" s="418">
        <v>492.01</v>
      </c>
      <c r="F53" s="418">
        <v>16.55</v>
      </c>
      <c r="G53" s="418">
        <v>25.27</v>
      </c>
      <c r="H53" s="418">
        <v>2.52</v>
      </c>
      <c r="I53" s="418">
        <v>34.75</v>
      </c>
      <c r="J53" s="419">
        <v>0.05</v>
      </c>
      <c r="K53" s="502"/>
    </row>
    <row r="54" spans="1:11" s="279" customFormat="1" ht="15" customHeight="1" x14ac:dyDescent="0.2">
      <c r="A54" s="300" t="s">
        <v>30</v>
      </c>
      <c r="B54" s="70"/>
      <c r="C54" s="404">
        <v>483.52</v>
      </c>
      <c r="D54" s="418">
        <v>256.7</v>
      </c>
      <c r="E54" s="418">
        <v>136.26</v>
      </c>
      <c r="F54" s="418">
        <v>11.99</v>
      </c>
      <c r="G54" s="418">
        <v>26.95</v>
      </c>
      <c r="H54" s="418">
        <v>18.43</v>
      </c>
      <c r="I54" s="418">
        <v>32.700000000000003</v>
      </c>
      <c r="J54" s="419">
        <v>0.49</v>
      </c>
      <c r="K54" s="502"/>
    </row>
    <row r="55" spans="1:11" s="279" customFormat="1" ht="15" customHeight="1" x14ac:dyDescent="0.2">
      <c r="A55" s="72">
        <v>2002</v>
      </c>
      <c r="B55" s="70"/>
      <c r="C55" s="404"/>
      <c r="D55" s="418"/>
      <c r="E55" s="418"/>
      <c r="F55" s="418"/>
      <c r="G55" s="418"/>
      <c r="H55" s="418"/>
      <c r="I55" s="418"/>
      <c r="J55" s="419"/>
      <c r="K55" s="502"/>
    </row>
    <row r="56" spans="1:11" s="279" customFormat="1" ht="15" customHeight="1" x14ac:dyDescent="0.2">
      <c r="A56" s="300" t="s">
        <v>27</v>
      </c>
      <c r="B56" s="70"/>
      <c r="C56" s="404">
        <f>SUM(D56:J56)</f>
        <v>279.64999999999998</v>
      </c>
      <c r="D56" s="418">
        <f>'[1]MKT_94(R)'!$AI$13</f>
        <v>142.68</v>
      </c>
      <c r="E56" s="418">
        <f>'[1]MKT_94(R)'!$AI$69</f>
        <v>0</v>
      </c>
      <c r="F56" s="418">
        <f>'[1]MKT_94(R)'!$AI$23</f>
        <v>27.99</v>
      </c>
      <c r="G56" s="422">
        <f>'[1]MKT_94(R)'!$AI$46</f>
        <v>100.31</v>
      </c>
      <c r="H56" s="418">
        <f>'[1]MKT_94(R)'!$AI$42</f>
        <v>1.9600000000000002</v>
      </c>
      <c r="I56" s="418">
        <f>'[1]MKT_94(R)'!$AI$63</f>
        <v>0</v>
      </c>
      <c r="J56" s="419">
        <f>'[1]MKT_94(R)'!$AI$31</f>
        <v>6.71</v>
      </c>
    </row>
    <row r="57" spans="1:11" s="279" customFormat="1" ht="15" customHeight="1" x14ac:dyDescent="0.2">
      <c r="A57" s="300" t="s">
        <v>28</v>
      </c>
      <c r="B57" s="70"/>
      <c r="C57" s="404">
        <f>SUM(D57:J57)</f>
        <v>603.5</v>
      </c>
      <c r="D57" s="418">
        <f>'[1]MKT_94(R)'!$AJ$13</f>
        <v>321.67</v>
      </c>
      <c r="E57" s="418">
        <f>'[1]MKT_94(R)'!$AJ$69</f>
        <v>0</v>
      </c>
      <c r="F57" s="418">
        <f>'[1]MKT_94(R)'!$AJ$23</f>
        <v>12.510000000000002</v>
      </c>
      <c r="G57" s="422">
        <f>'[1]MKT_94(R)'!$AJ$46</f>
        <v>241.81</v>
      </c>
      <c r="H57" s="418">
        <f>'[1]MKT_94(R)'!$AJ$42</f>
        <v>17.580000000000002</v>
      </c>
      <c r="I57" s="418">
        <f>'[1]MKT_94(R)'!$AJ$63</f>
        <v>0</v>
      </c>
      <c r="J57" s="419">
        <f>'[1]MKT_94(R)'!$AJ$31</f>
        <v>9.93</v>
      </c>
    </row>
    <row r="58" spans="1:11" s="279" customFormat="1" ht="15" customHeight="1" x14ac:dyDescent="0.2">
      <c r="A58" s="300" t="s">
        <v>29</v>
      </c>
      <c r="B58" s="70"/>
      <c r="C58" s="404">
        <f>SUM(D58:J58)</f>
        <v>339.84000000000003</v>
      </c>
      <c r="D58" s="418">
        <f>'[1]MKT_94(R)'!$AK$13</f>
        <v>291.54000000000002</v>
      </c>
      <c r="E58" s="418">
        <f>'[1]MKT_94(R)'!$AK$69</f>
        <v>0</v>
      </c>
      <c r="F58" s="418">
        <f>'[1]MKT_94(R)'!$AK$23</f>
        <v>12</v>
      </c>
      <c r="G58" s="422">
        <f>'[1]MKT_94(R)'!$AK$46</f>
        <v>24.73</v>
      </c>
      <c r="H58" s="418">
        <f>'[1]MKT_94(R)'!$AK$42</f>
        <v>9.620000000000001</v>
      </c>
      <c r="I58" s="418">
        <f>'[1]MKT_94(R)'!$AK$63</f>
        <v>0</v>
      </c>
      <c r="J58" s="419">
        <f>'[1]MKT_94(R)'!$AK$31</f>
        <v>1.95</v>
      </c>
    </row>
    <row r="59" spans="1:11" s="279" customFormat="1" ht="15" customHeight="1" x14ac:dyDescent="0.2">
      <c r="A59" s="300" t="s">
        <v>30</v>
      </c>
      <c r="B59" s="70"/>
      <c r="C59" s="404">
        <f>SUM(D59:J59)</f>
        <v>157.04999999999998</v>
      </c>
      <c r="D59" s="418">
        <f>'[1]MKT_94(R)'!$AL$13</f>
        <v>94.669999999999987</v>
      </c>
      <c r="E59" s="418">
        <f>'[1]MKT_94(R)'!$AL$69</f>
        <v>0</v>
      </c>
      <c r="F59" s="418">
        <f>'[1]MKT_94(R)'!$AL$23</f>
        <v>9.620000000000001</v>
      </c>
      <c r="G59" s="422">
        <f>'[1]MKT_94(R)'!$AL$46</f>
        <v>42.16</v>
      </c>
      <c r="H59" s="418">
        <f>'[1]MKT_94(R)'!$AL$42</f>
        <v>7.2499999999999991</v>
      </c>
      <c r="I59" s="418">
        <f>'[1]MKT_94(R)'!$AL$63</f>
        <v>0</v>
      </c>
      <c r="J59" s="419">
        <f>'[1]MKT_94(R)'!$AL$31</f>
        <v>3.3500000000000005</v>
      </c>
    </row>
    <row r="60" spans="1:11" ht="15" customHeight="1" x14ac:dyDescent="0.2">
      <c r="A60" s="251" t="s">
        <v>50</v>
      </c>
      <c r="B60" s="74"/>
      <c r="C60" s="74"/>
      <c r="D60" s="74"/>
      <c r="E60" s="73"/>
      <c r="F60" s="73"/>
      <c r="G60" s="73"/>
      <c r="H60" s="73"/>
      <c r="I60" s="73"/>
      <c r="J60" s="73"/>
      <c r="K60" s="75"/>
    </row>
    <row r="61" spans="1:11" ht="13.5" customHeight="1" x14ac:dyDescent="0.2">
      <c r="A61" s="276" t="s">
        <v>35</v>
      </c>
      <c r="B61" s="77"/>
      <c r="C61" s="77"/>
      <c r="D61" s="76"/>
    </row>
    <row r="62" spans="1:11" ht="13.8" x14ac:dyDescent="0.2">
      <c r="A62" s="50"/>
      <c r="B62" s="76"/>
      <c r="C62" s="76"/>
      <c r="D62" s="76"/>
    </row>
    <row r="63" spans="1:11" s="279" customFormat="1" ht="12.75" customHeight="1" x14ac:dyDescent="0.2">
      <c r="B63" s="280"/>
      <c r="C63" s="322"/>
      <c r="D63" s="323"/>
      <c r="E63" s="322"/>
      <c r="F63" s="322"/>
      <c r="G63" s="322"/>
    </row>
    <row r="66" spans="1:34" x14ac:dyDescent="0.2">
      <c r="D66" s="78"/>
    </row>
    <row r="67" spans="1:34" x14ac:dyDescent="0.2">
      <c r="N67" s="78"/>
      <c r="X67" s="78"/>
      <c r="AH67" s="78"/>
    </row>
    <row r="69" spans="1:34" x14ac:dyDescent="0.2">
      <c r="D69" s="79" t="s">
        <v>56</v>
      </c>
      <c r="E69" s="79" t="s">
        <v>56</v>
      </c>
      <c r="F69" s="79" t="s">
        <v>56</v>
      </c>
    </row>
    <row r="70" spans="1:34" x14ac:dyDescent="0.2">
      <c r="A70" s="79" t="s">
        <v>56</v>
      </c>
      <c r="B70" s="79"/>
      <c r="C70" s="79"/>
    </row>
    <row r="72" spans="1:34" x14ac:dyDescent="0.2">
      <c r="A72" s="76" t="s">
        <v>57</v>
      </c>
      <c r="B72" s="76"/>
      <c r="C72" s="76"/>
    </row>
    <row r="73" spans="1:34" x14ac:dyDescent="0.2">
      <c r="A73" s="79" t="s">
        <v>56</v>
      </c>
      <c r="B73" s="79"/>
      <c r="C73" s="79"/>
    </row>
    <row r="74" spans="1:34" x14ac:dyDescent="0.2">
      <c r="A74" s="76" t="s">
        <v>58</v>
      </c>
      <c r="B74" s="76"/>
      <c r="C74" s="76"/>
    </row>
    <row r="75" spans="1:34" x14ac:dyDescent="0.2">
      <c r="A75" s="76" t="s">
        <v>59</v>
      </c>
      <c r="B75" s="76"/>
      <c r="C75" s="76"/>
    </row>
    <row r="76" spans="1:34" x14ac:dyDescent="0.2">
      <c r="A76" s="76" t="s">
        <v>60</v>
      </c>
      <c r="B76" s="76"/>
      <c r="C76" s="76"/>
    </row>
    <row r="77" spans="1:34" x14ac:dyDescent="0.2">
      <c r="A77" s="76" t="s">
        <v>61</v>
      </c>
      <c r="B77" s="76"/>
      <c r="C77" s="76"/>
    </row>
    <row r="78" spans="1:34" x14ac:dyDescent="0.2">
      <c r="A78" s="76" t="s">
        <v>62</v>
      </c>
      <c r="B78" s="76"/>
      <c r="C78" s="76"/>
    </row>
  </sheetData>
  <mergeCells count="4">
    <mergeCell ref="A11:B11"/>
    <mergeCell ref="A12:B12"/>
    <mergeCell ref="A13:B13"/>
    <mergeCell ref="A14:B14"/>
  </mergeCells>
  <phoneticPr fontId="2" type="noConversion"/>
  <printOptions gridLinesSet="0"/>
  <pageMargins left="0.59055118110236204" right="1.9685039370078701" top="0.59055118110236204" bottom="2.4409448818897599" header="0.5" footer="0.5"/>
  <pageSetup paperSize="9" orientation="portrait" horizontalDpi="1200" verticalDpi="1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15" transitionEvaluation="1" codeName="Sheet14"/>
  <dimension ref="A1:DC48"/>
  <sheetViews>
    <sheetView showGridLines="0" showOutlineSymbols="0" zoomScaleNormal="100"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I17" sqref="I16:I17"/>
    </sheetView>
  </sheetViews>
  <sheetFormatPr defaultColWidth="9" defaultRowHeight="10.199999999999999" outlineLevelCol="1" x14ac:dyDescent="0.2"/>
  <cols>
    <col min="1" max="1" width="24" style="156" customWidth="1"/>
    <col min="2" max="3" width="8" style="156" hidden="1" customWidth="1" outlineLevel="1"/>
    <col min="4" max="4" width="7.6640625" style="156" hidden="1" customWidth="1" outlineLevel="1" collapsed="1"/>
    <col min="5" max="7" width="8" style="156" hidden="1" customWidth="1" outlineLevel="1" collapsed="1"/>
    <col min="8" max="8" width="8" style="156" customWidth="1" collapsed="1"/>
    <col min="9" max="12" width="8" style="156" customWidth="1"/>
    <col min="13" max="15" width="7.6640625" style="156" hidden="1" customWidth="1" outlineLevel="1"/>
    <col min="16" max="16" width="1.83203125" style="156" hidden="1" customWidth="1" outlineLevel="1"/>
    <col min="17" max="17" width="7.6640625" style="156" hidden="1" customWidth="1" outlineLevel="1" collapsed="1"/>
    <col min="18" max="20" width="7.6640625" style="156" hidden="1" customWidth="1" outlineLevel="1"/>
    <col min="21" max="21" width="2" style="156" hidden="1" customWidth="1" outlineLevel="1"/>
    <col min="22" max="23" width="7.83203125" style="156" hidden="1" customWidth="1" outlineLevel="1"/>
    <col min="24" max="24" width="7.83203125" style="157" hidden="1" customWidth="1" outlineLevel="1"/>
    <col min="25" max="25" width="7.83203125" style="156" hidden="1" customWidth="1" outlineLevel="1"/>
    <col min="26" max="26" width="1.83203125" style="156" hidden="1" customWidth="1" outlineLevel="1"/>
    <col min="27" max="30" width="7.83203125" style="156" hidden="1" customWidth="1" outlineLevel="1"/>
    <col min="31" max="31" width="1.83203125" style="156" hidden="1" customWidth="1" outlineLevel="1"/>
    <col min="32" max="33" width="7.83203125" style="156" hidden="1" customWidth="1" outlineLevel="1"/>
    <col min="34" max="35" width="7.6640625" style="156" hidden="1" customWidth="1" outlineLevel="1"/>
    <col min="36" max="36" width="1.83203125" style="156" hidden="1" customWidth="1" outlineLevel="1" collapsed="1"/>
    <col min="37" max="39" width="7.6640625" style="156" hidden="1" customWidth="1" outlineLevel="1"/>
    <col min="40" max="40" width="8.1640625" style="156" hidden="1" customWidth="1" outlineLevel="1"/>
    <col min="41" max="41" width="2" style="156" hidden="1" customWidth="1" outlineLevel="1" collapsed="1"/>
    <col min="42" max="42" width="7.6640625" style="156" hidden="1" customWidth="1" outlineLevel="1" collapsed="1"/>
    <col min="43" max="43" width="7.6640625" style="156" hidden="1" customWidth="1" outlineLevel="1"/>
    <col min="44" max="45" width="7.6640625" hidden="1" customWidth="1" outlineLevel="1"/>
    <col min="46" max="46" width="2" customWidth="1" collapsed="1"/>
    <col min="47" max="47" width="7.6640625" hidden="1" customWidth="1" outlineLevel="1"/>
    <col min="48" max="48" width="7.33203125" hidden="1" customWidth="1" outlineLevel="1"/>
    <col min="49" max="49" width="7.33203125" hidden="1" customWidth="1" outlineLevel="1" collapsed="1"/>
    <col min="50" max="50" width="7.6640625" hidden="1" customWidth="1" outlineLevel="1"/>
    <col min="51" max="51" width="2" hidden="1" customWidth="1" outlineLevel="1" collapsed="1"/>
    <col min="52" max="52" width="7.6640625" hidden="1" customWidth="1" outlineLevel="1" collapsed="1"/>
    <col min="53" max="53" width="7.6640625" hidden="1" customWidth="1" outlineLevel="1"/>
    <col min="54" max="54" width="7.6640625" customWidth="1" collapsed="1"/>
    <col min="55" max="55" width="7.6640625" customWidth="1"/>
    <col min="56" max="56" width="2" customWidth="1"/>
    <col min="57" max="59" width="7.6640625" customWidth="1"/>
    <col min="60" max="60" width="7.6640625" bestFit="1" customWidth="1"/>
    <col min="61" max="61" width="2" customWidth="1"/>
    <col min="62" max="63" width="7.33203125" customWidth="1"/>
    <col min="64" max="65" width="7.6640625" bestFit="1" customWidth="1"/>
    <col min="66" max="66" width="2" style="156" customWidth="1"/>
    <col min="67" max="67" width="7.6640625" style="156" bestFit="1" customWidth="1"/>
    <col min="68" max="81" width="9" style="156"/>
    <col min="82" max="82" width="9" style="156" collapsed="1"/>
    <col min="83" max="86" width="9" style="156"/>
    <col min="87" max="88" width="9" style="156" collapsed="1"/>
    <col min="89" max="16384" width="9" style="156"/>
  </cols>
  <sheetData>
    <row r="1" spans="1:107" ht="18.75" customHeight="1" x14ac:dyDescent="0.25">
      <c r="A1" s="844" t="s">
        <v>120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  <c r="Z1" s="844"/>
      <c r="AA1" s="844"/>
      <c r="AB1" s="844"/>
      <c r="AC1" s="844"/>
      <c r="AD1" s="844"/>
      <c r="AE1" s="844"/>
      <c r="AF1" s="844"/>
      <c r="AG1" s="844"/>
      <c r="AH1" s="844"/>
      <c r="AI1" s="844"/>
      <c r="AJ1" s="844"/>
      <c r="AK1" s="844"/>
      <c r="AL1" s="844"/>
      <c r="AM1" s="844"/>
      <c r="AN1" s="844"/>
      <c r="AO1" s="844"/>
      <c r="AP1" s="844"/>
      <c r="AQ1" s="844"/>
      <c r="AR1" s="844"/>
      <c r="AS1" s="844"/>
      <c r="AT1" s="844"/>
      <c r="AU1" s="844"/>
      <c r="AV1" s="844"/>
      <c r="AW1" s="844"/>
      <c r="AX1" s="844"/>
      <c r="AY1" s="844"/>
      <c r="AZ1" s="844"/>
      <c r="BA1" s="844"/>
      <c r="BB1" s="844"/>
      <c r="BC1" s="844"/>
      <c r="BD1" s="844"/>
      <c r="BE1" s="844"/>
      <c r="BF1" s="844"/>
      <c r="BG1" s="844"/>
      <c r="BH1" s="844"/>
      <c r="BI1" s="844"/>
      <c r="BJ1" s="844"/>
      <c r="BK1" s="475"/>
      <c r="BL1" s="475"/>
      <c r="BM1" s="475"/>
    </row>
    <row r="2" spans="1:107" ht="12" customHeight="1" x14ac:dyDescent="0.2"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Y2" s="158"/>
      <c r="Z2" s="158"/>
      <c r="AA2" s="158"/>
      <c r="AB2" s="158"/>
      <c r="AC2" s="158"/>
      <c r="AD2" s="158"/>
      <c r="AE2" s="158"/>
      <c r="AJ2" s="158"/>
      <c r="AP2" s="372"/>
      <c r="AQ2" s="372"/>
      <c r="AR2" s="375"/>
      <c r="AS2" s="37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72"/>
    </row>
    <row r="3" spans="1:107" s="177" customFormat="1" ht="14.25" customHeight="1" x14ac:dyDescent="0.2">
      <c r="A3" s="305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60">
        <v>1990</v>
      </c>
      <c r="N3" s="173"/>
      <c r="O3" s="161"/>
      <c r="P3" s="159"/>
      <c r="Q3" s="161">
        <v>1991</v>
      </c>
      <c r="R3" s="306"/>
      <c r="S3" s="160"/>
      <c r="T3" s="161"/>
      <c r="U3" s="159"/>
      <c r="V3" s="161"/>
      <c r="W3" s="162"/>
      <c r="X3" s="161">
        <v>1992</v>
      </c>
      <c r="Y3" s="161"/>
      <c r="Z3" s="161"/>
      <c r="AA3" s="341"/>
      <c r="AB3" s="162"/>
      <c r="AC3" s="161">
        <v>1993</v>
      </c>
      <c r="AD3" s="160"/>
      <c r="AE3" s="161"/>
      <c r="AF3" s="377"/>
      <c r="AG3" s="161"/>
      <c r="AH3" s="163">
        <v>1994</v>
      </c>
      <c r="AI3" s="163"/>
      <c r="AJ3" s="161"/>
      <c r="AK3" s="161">
        <v>1995</v>
      </c>
      <c r="AL3" s="374"/>
      <c r="AM3" s="161"/>
      <c r="AN3" s="163"/>
      <c r="AO3" s="161"/>
      <c r="AP3" s="374">
        <v>1996</v>
      </c>
      <c r="AQ3" s="374"/>
      <c r="AR3" s="374"/>
      <c r="AS3" s="376"/>
      <c r="AT3" s="161"/>
      <c r="AU3" s="453">
        <v>1997</v>
      </c>
      <c r="AV3" s="453"/>
      <c r="AW3" s="845">
        <v>1997</v>
      </c>
      <c r="AX3" s="845"/>
      <c r="AY3" s="447"/>
      <c r="AZ3" s="845">
        <v>1998</v>
      </c>
      <c r="BA3" s="845"/>
      <c r="BB3" s="845"/>
      <c r="BC3" s="845"/>
      <c r="BD3" s="447"/>
      <c r="BE3" s="845">
        <v>1999</v>
      </c>
      <c r="BF3" s="845"/>
      <c r="BG3" s="845"/>
      <c r="BH3" s="845"/>
      <c r="BI3" s="447"/>
      <c r="BJ3" s="845">
        <v>2000</v>
      </c>
      <c r="BK3" s="845"/>
      <c r="BL3" s="845"/>
      <c r="BM3" s="490"/>
      <c r="BN3" s="161"/>
      <c r="BO3" s="845">
        <v>2001</v>
      </c>
      <c r="BP3" s="847"/>
      <c r="BQ3" s="491"/>
    </row>
    <row r="4" spans="1:107" ht="14.25" customHeight="1" x14ac:dyDescent="0.2">
      <c r="A4" s="313" t="s">
        <v>123</v>
      </c>
      <c r="B4" s="168">
        <v>1990</v>
      </c>
      <c r="C4" s="168">
        <v>1991</v>
      </c>
      <c r="D4" s="168">
        <v>1992</v>
      </c>
      <c r="E4" s="168">
        <v>1993</v>
      </c>
      <c r="F4" s="168">
        <v>1994</v>
      </c>
      <c r="G4" s="168">
        <v>1995</v>
      </c>
      <c r="H4" s="168">
        <v>1996</v>
      </c>
      <c r="I4" s="168">
        <v>1997</v>
      </c>
      <c r="J4" s="168">
        <v>1998</v>
      </c>
      <c r="K4" s="168">
        <v>1999</v>
      </c>
      <c r="L4" s="168">
        <v>2000</v>
      </c>
      <c r="M4" s="169" t="s">
        <v>28</v>
      </c>
      <c r="N4" s="169" t="s">
        <v>29</v>
      </c>
      <c r="O4" s="169" t="s">
        <v>30</v>
      </c>
      <c r="P4" s="172"/>
      <c r="Q4" s="169" t="s">
        <v>27</v>
      </c>
      <c r="R4" s="216" t="s">
        <v>28</v>
      </c>
      <c r="S4" s="169" t="s">
        <v>29</v>
      </c>
      <c r="T4" s="169" t="s">
        <v>30</v>
      </c>
      <c r="U4" s="172"/>
      <c r="V4" s="169" t="s">
        <v>27</v>
      </c>
      <c r="W4" s="170" t="s">
        <v>28</v>
      </c>
      <c r="X4" s="171" t="s">
        <v>29</v>
      </c>
      <c r="Y4" s="169" t="s">
        <v>30</v>
      </c>
      <c r="Z4" s="172"/>
      <c r="AA4" s="169" t="s">
        <v>27</v>
      </c>
      <c r="AB4" s="169" t="s">
        <v>28</v>
      </c>
      <c r="AC4" s="169" t="s">
        <v>29</v>
      </c>
      <c r="AD4" s="216" t="s">
        <v>30</v>
      </c>
      <c r="AE4" s="172"/>
      <c r="AF4" s="216" t="s">
        <v>27</v>
      </c>
      <c r="AG4" s="216" t="s">
        <v>28</v>
      </c>
      <c r="AH4" s="216" t="s">
        <v>29</v>
      </c>
      <c r="AI4" s="216" t="s">
        <v>30</v>
      </c>
      <c r="AJ4" s="172"/>
      <c r="AK4" s="216" t="s">
        <v>27</v>
      </c>
      <c r="AL4" s="216" t="s">
        <v>28</v>
      </c>
      <c r="AM4" s="216" t="s">
        <v>29</v>
      </c>
      <c r="AN4" s="216" t="s">
        <v>30</v>
      </c>
      <c r="AO4" s="332"/>
      <c r="AP4" s="216" t="s">
        <v>27</v>
      </c>
      <c r="AQ4" s="216" t="s">
        <v>28</v>
      </c>
      <c r="AR4" s="332" t="s">
        <v>29</v>
      </c>
      <c r="AS4" s="332" t="s">
        <v>30</v>
      </c>
      <c r="AT4" s="332"/>
      <c r="AU4" s="216" t="s">
        <v>27</v>
      </c>
      <c r="AV4" s="216" t="s">
        <v>28</v>
      </c>
      <c r="AW4" s="216" t="s">
        <v>29</v>
      </c>
      <c r="AX4" s="216" t="s">
        <v>30</v>
      </c>
      <c r="AY4" s="332"/>
      <c r="AZ4" s="216" t="s">
        <v>27</v>
      </c>
      <c r="BA4" s="449" t="s">
        <v>28</v>
      </c>
      <c r="BB4" s="449" t="s">
        <v>29</v>
      </c>
      <c r="BC4" s="216" t="s">
        <v>30</v>
      </c>
      <c r="BD4" s="332"/>
      <c r="BE4" s="332" t="s">
        <v>27</v>
      </c>
      <c r="BF4" s="332" t="s">
        <v>28</v>
      </c>
      <c r="BG4" s="332" t="s">
        <v>29</v>
      </c>
      <c r="BH4" s="216" t="s">
        <v>30</v>
      </c>
      <c r="BI4" s="332"/>
      <c r="BJ4" s="216" t="s">
        <v>27</v>
      </c>
      <c r="BK4" s="216" t="s">
        <v>28</v>
      </c>
      <c r="BL4" s="216" t="s">
        <v>29</v>
      </c>
      <c r="BM4" s="216" t="s">
        <v>30</v>
      </c>
      <c r="BN4" s="172"/>
      <c r="BO4" s="216" t="s">
        <v>27</v>
      </c>
      <c r="BP4" s="496" t="s">
        <v>28</v>
      </c>
    </row>
    <row r="5" spans="1:107" s="177" customFormat="1" ht="10.5" customHeight="1" x14ac:dyDescent="0.2">
      <c r="A5" s="312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3"/>
      <c r="N5" s="173"/>
      <c r="O5" s="173"/>
      <c r="P5" s="173"/>
      <c r="Q5" s="173"/>
      <c r="R5" s="234"/>
      <c r="S5" s="173"/>
      <c r="T5" s="173"/>
      <c r="U5" s="173"/>
      <c r="V5" s="173"/>
      <c r="W5" s="234"/>
      <c r="X5" s="176"/>
      <c r="Y5" s="173"/>
      <c r="Z5" s="173"/>
      <c r="AA5" s="173"/>
      <c r="AB5" s="173"/>
      <c r="AC5" s="173"/>
      <c r="AD5" s="176"/>
      <c r="AE5" s="173"/>
      <c r="AF5" s="176"/>
      <c r="AG5" s="176"/>
      <c r="AH5" s="176"/>
      <c r="AI5" s="176"/>
      <c r="AJ5" s="173"/>
      <c r="AK5" s="176"/>
      <c r="AL5" s="176"/>
      <c r="AM5" s="176"/>
      <c r="AN5" s="176"/>
      <c r="AO5" s="176"/>
      <c r="AP5" s="176"/>
      <c r="AQ5" s="176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275"/>
      <c r="BC5" s="275"/>
      <c r="BD5" s="378"/>
      <c r="BE5" s="378"/>
      <c r="BF5" s="378"/>
      <c r="BG5" s="378"/>
      <c r="BH5" s="275"/>
      <c r="BI5" s="378"/>
      <c r="BJ5" s="378"/>
      <c r="BK5" s="275"/>
      <c r="BL5" s="275"/>
      <c r="BM5" s="275"/>
      <c r="BN5" s="366"/>
      <c r="BO5" s="495"/>
      <c r="BP5" s="497"/>
    </row>
    <row r="6" spans="1:107" x14ac:dyDescent="0.2">
      <c r="A6" s="178" t="s">
        <v>94</v>
      </c>
      <c r="B6" s="263">
        <f>O6</f>
        <v>86.628991683351288</v>
      </c>
      <c r="C6" s="263">
        <f>T6</f>
        <v>92.984108641752613</v>
      </c>
      <c r="D6" s="263">
        <f>Y6</f>
        <v>94.680539853554706</v>
      </c>
      <c r="E6" s="263">
        <f>AD6</f>
        <v>100.73465941888048</v>
      </c>
      <c r="F6" s="263">
        <f>AI6</f>
        <v>97.517800014814213</v>
      </c>
      <c r="G6" s="263">
        <f>AN6</f>
        <v>101.09422457407187</v>
      </c>
      <c r="H6" s="263">
        <f>AS6</f>
        <v>101.83257209465715</v>
      </c>
      <c r="I6" s="263">
        <f>AX6</f>
        <v>104.9</v>
      </c>
      <c r="J6" s="263">
        <f>BC6</f>
        <v>108.1</v>
      </c>
      <c r="K6" s="263">
        <f>BH6</f>
        <v>114.9</v>
      </c>
      <c r="L6" s="263">
        <f>BM6</f>
        <v>123.1</v>
      </c>
      <c r="M6" s="286">
        <v>78.72581124566409</v>
      </c>
      <c r="N6" s="286">
        <v>83.933239057119579</v>
      </c>
      <c r="O6" s="286">
        <v>86.628991683351288</v>
      </c>
      <c r="P6" s="179"/>
      <c r="Q6" s="286">
        <v>86.390638002876045</v>
      </c>
      <c r="R6" s="286">
        <v>87.850805720202246</v>
      </c>
      <c r="S6" s="286">
        <v>90.156110559885519</v>
      </c>
      <c r="T6" s="286">
        <v>92.984108641752613</v>
      </c>
      <c r="U6" s="179"/>
      <c r="V6" s="286">
        <v>96.060702180418374</v>
      </c>
      <c r="W6" s="286">
        <v>95.246346574115165</v>
      </c>
      <c r="X6" s="286">
        <v>97.12490495772245</v>
      </c>
      <c r="Y6" s="286">
        <v>94.680539853554706</v>
      </c>
      <c r="Z6" s="263"/>
      <c r="AA6" s="286">
        <v>96.742421848962039</v>
      </c>
      <c r="AB6" s="286">
        <v>92.676552114668723</v>
      </c>
      <c r="AC6" s="286">
        <v>99.076885231281381</v>
      </c>
      <c r="AD6" s="286">
        <v>100.73465941888048</v>
      </c>
      <c r="AE6" s="263"/>
      <c r="AF6" s="286">
        <v>96.662764924038996</v>
      </c>
      <c r="AG6" s="286">
        <v>99.701249711045165</v>
      </c>
      <c r="AH6" s="286">
        <v>98.594167567449816</v>
      </c>
      <c r="AI6" s="286">
        <v>97.517800014814213</v>
      </c>
      <c r="AJ6" s="263"/>
      <c r="AK6" s="286">
        <v>98.490413451616959</v>
      </c>
      <c r="AL6" s="286">
        <v>99.669692865521824</v>
      </c>
      <c r="AM6" s="286">
        <v>98.02701339534876</v>
      </c>
      <c r="AN6" s="286">
        <v>101.09422457407187</v>
      </c>
      <c r="AO6" s="286"/>
      <c r="AP6" s="286">
        <v>102.91356785206824</v>
      </c>
      <c r="AQ6" s="286">
        <v>102.78123104785053</v>
      </c>
      <c r="AR6" s="286">
        <v>101.92867098687488</v>
      </c>
      <c r="AS6" s="286">
        <v>101.83257209465715</v>
      </c>
      <c r="AT6" s="286"/>
      <c r="AU6" s="286">
        <v>104.31221252146096</v>
      </c>
      <c r="AV6" s="286">
        <v>104.8151004439943</v>
      </c>
      <c r="AW6" s="286">
        <v>104.9</v>
      </c>
      <c r="AX6" s="286">
        <v>104.9</v>
      </c>
      <c r="AY6" s="286"/>
      <c r="AZ6" s="286">
        <v>107.4</v>
      </c>
      <c r="BA6" s="286">
        <v>108.2</v>
      </c>
      <c r="BB6" s="286">
        <v>109</v>
      </c>
      <c r="BC6" s="286">
        <v>108.1</v>
      </c>
      <c r="BD6" s="286"/>
      <c r="BE6" s="286">
        <v>111.9</v>
      </c>
      <c r="BF6" s="286">
        <v>113</v>
      </c>
      <c r="BG6" s="286">
        <v>113.5</v>
      </c>
      <c r="BH6" s="286">
        <v>114.9</v>
      </c>
      <c r="BI6" s="286"/>
      <c r="BJ6" s="286">
        <v>117.2</v>
      </c>
      <c r="BK6" s="286">
        <v>119.8</v>
      </c>
      <c r="BL6" s="286">
        <v>121.5</v>
      </c>
      <c r="BM6" s="286">
        <v>123.1</v>
      </c>
      <c r="BN6" s="286"/>
      <c r="BO6" s="286">
        <v>125</v>
      </c>
      <c r="BP6" s="498">
        <v>127.7</v>
      </c>
    </row>
    <row r="7" spans="1:107" x14ac:dyDescent="0.2">
      <c r="A7" s="178" t="s">
        <v>95</v>
      </c>
      <c r="B7" s="263">
        <f t="shared" ref="B7:B15" si="0">O7</f>
        <v>82.559800069716076</v>
      </c>
      <c r="C7" s="263">
        <f t="shared" ref="C7:C15" si="1">T7</f>
        <v>91.868527527761017</v>
      </c>
      <c r="D7" s="263">
        <f t="shared" ref="D7:D15" si="2">Y7</f>
        <v>91.854421756051153</v>
      </c>
      <c r="E7" s="263">
        <f t="shared" ref="E7:E15" si="3">AD7</f>
        <v>102.14665680443693</v>
      </c>
      <c r="F7" s="263">
        <f t="shared" ref="F7:F15" si="4">AI7</f>
        <v>100.14945830122318</v>
      </c>
      <c r="G7" s="263">
        <f t="shared" ref="G7:G15" si="5">AN7</f>
        <v>102.31873786483033</v>
      </c>
      <c r="H7" s="263">
        <f t="shared" ref="H7:H15" si="6">AS7</f>
        <v>102.19591577495974</v>
      </c>
      <c r="I7" s="263">
        <f t="shared" ref="I7:I15" si="7">AX7</f>
        <v>111.6</v>
      </c>
      <c r="J7" s="263">
        <f t="shared" ref="J7:J15" si="8">BC7</f>
        <v>116.7</v>
      </c>
      <c r="K7" s="263">
        <f t="shared" ref="K7:K15" si="9">BH7</f>
        <v>115.2</v>
      </c>
      <c r="L7" s="263">
        <f t="shared" ref="L7:L15" si="10">BM7</f>
        <v>126</v>
      </c>
      <c r="M7" s="286">
        <v>72.102248014809405</v>
      </c>
      <c r="N7" s="286">
        <v>78.400357832948785</v>
      </c>
      <c r="O7" s="286">
        <v>82.559800069716076</v>
      </c>
      <c r="P7" s="179"/>
      <c r="Q7" s="286">
        <v>81.496717470774243</v>
      </c>
      <c r="R7" s="286">
        <v>85.154112560812095</v>
      </c>
      <c r="S7" s="286">
        <v>87.542446515465116</v>
      </c>
      <c r="T7" s="286">
        <v>91.868527527761017</v>
      </c>
      <c r="U7" s="179"/>
      <c r="V7" s="286">
        <v>98.666968373900872</v>
      </c>
      <c r="W7" s="286">
        <v>96.346565306002347</v>
      </c>
      <c r="X7" s="286">
        <v>98.517759136453975</v>
      </c>
      <c r="Y7" s="286">
        <v>91.854421756051153</v>
      </c>
      <c r="Z7" s="263"/>
      <c r="AA7" s="286">
        <v>94.862892832625661</v>
      </c>
      <c r="AB7" s="286">
        <v>87.707433083716609</v>
      </c>
      <c r="AC7" s="286">
        <v>99.399755058717801</v>
      </c>
      <c r="AD7" s="286">
        <v>102.14665680443693</v>
      </c>
      <c r="AE7" s="263"/>
      <c r="AF7" s="286">
        <v>95.163920082665527</v>
      </c>
      <c r="AG7" s="286">
        <v>103.68429601726952</v>
      </c>
      <c r="AH7" s="286">
        <v>103.7161112977753</v>
      </c>
      <c r="AI7" s="286">
        <v>100.14945830122318</v>
      </c>
      <c r="AJ7" s="263"/>
      <c r="AK7" s="286">
        <v>100.9269357223654</v>
      </c>
      <c r="AL7" s="286">
        <v>102.16483653038146</v>
      </c>
      <c r="AM7" s="286">
        <v>96.997358594037792</v>
      </c>
      <c r="AN7" s="286">
        <v>102.31873786483033</v>
      </c>
      <c r="AO7" s="286"/>
      <c r="AP7" s="286">
        <v>105.70024703755408</v>
      </c>
      <c r="AQ7" s="286">
        <v>104.84301779944185</v>
      </c>
      <c r="AR7" s="286">
        <v>102.23615872399412</v>
      </c>
      <c r="AS7" s="286">
        <v>102.19591577495974</v>
      </c>
      <c r="AT7" s="286"/>
      <c r="AU7" s="286">
        <v>106.1702870622393</v>
      </c>
      <c r="AV7" s="286">
        <v>107.18593861837225</v>
      </c>
      <c r="AW7" s="286">
        <v>108.2</v>
      </c>
      <c r="AX7" s="286">
        <v>111.6</v>
      </c>
      <c r="AY7" s="286"/>
      <c r="AZ7" s="286">
        <v>114.9</v>
      </c>
      <c r="BA7" s="286">
        <v>115.3</v>
      </c>
      <c r="BB7" s="286">
        <v>115.4</v>
      </c>
      <c r="BC7" s="286">
        <v>116.7</v>
      </c>
      <c r="BD7" s="286"/>
      <c r="BE7" s="286">
        <v>122.7</v>
      </c>
      <c r="BF7" s="286">
        <v>121.6</v>
      </c>
      <c r="BG7" s="286">
        <v>118.3</v>
      </c>
      <c r="BH7" s="286">
        <v>115.2</v>
      </c>
      <c r="BI7" s="286"/>
      <c r="BJ7" s="286">
        <v>117.9</v>
      </c>
      <c r="BK7" s="286">
        <v>121.8</v>
      </c>
      <c r="BL7" s="286">
        <v>125.9</v>
      </c>
      <c r="BM7" s="286">
        <v>126</v>
      </c>
      <c r="BN7" s="286"/>
      <c r="BO7" s="286">
        <v>126.5</v>
      </c>
      <c r="BP7" s="498">
        <v>127.9</v>
      </c>
    </row>
    <row r="8" spans="1:107" x14ac:dyDescent="0.2">
      <c r="A8" s="471" t="s">
        <v>96</v>
      </c>
      <c r="B8" s="263">
        <f t="shared" si="0"/>
        <v>90.932738715211443</v>
      </c>
      <c r="C8" s="263">
        <f t="shared" si="1"/>
        <v>94.163993828789259</v>
      </c>
      <c r="D8" s="263">
        <f t="shared" si="2"/>
        <v>97.669560408168351</v>
      </c>
      <c r="E8" s="263">
        <f t="shared" si="3"/>
        <v>99.241272000918016</v>
      </c>
      <c r="F8" s="263">
        <f t="shared" si="4"/>
        <v>94.734448279533368</v>
      </c>
      <c r="G8" s="263">
        <f t="shared" si="5"/>
        <v>100.05907133824157</v>
      </c>
      <c r="H8" s="263">
        <f t="shared" si="6"/>
        <v>101.52541627264826</v>
      </c>
      <c r="I8" s="263">
        <f t="shared" si="7"/>
        <v>99.4</v>
      </c>
      <c r="J8" s="263">
        <f t="shared" si="8"/>
        <v>100.8</v>
      </c>
      <c r="K8" s="263">
        <f t="shared" si="9"/>
        <v>114.6</v>
      </c>
      <c r="L8" s="263">
        <f t="shared" si="10"/>
        <v>120.6</v>
      </c>
      <c r="M8" s="286">
        <v>85.731168402994513</v>
      </c>
      <c r="N8" s="286">
        <v>89.785045363406454</v>
      </c>
      <c r="O8" s="286">
        <v>90.932738715211443</v>
      </c>
      <c r="P8" s="179"/>
      <c r="Q8" s="286">
        <v>91.566652790092292</v>
      </c>
      <c r="R8" s="286">
        <v>90.702941053833058</v>
      </c>
      <c r="S8" s="286">
        <v>92.920430833170641</v>
      </c>
      <c r="T8" s="286">
        <v>94.163993828789259</v>
      </c>
      <c r="U8" s="179"/>
      <c r="V8" s="286">
        <v>93.304206183313894</v>
      </c>
      <c r="W8" s="286">
        <v>94.082709284121577</v>
      </c>
      <c r="X8" s="286">
        <v>95.651764194961928</v>
      </c>
      <c r="Y8" s="286">
        <v>97.669560408168351</v>
      </c>
      <c r="Z8" s="263"/>
      <c r="AA8" s="286">
        <v>98.730290249714585</v>
      </c>
      <c r="AB8" s="286">
        <v>97.932099975516408</v>
      </c>
      <c r="AC8" s="286">
        <v>98.73540461462774</v>
      </c>
      <c r="AD8" s="286">
        <v>99.241272000918016</v>
      </c>
      <c r="AE8" s="263"/>
      <c r="AF8" s="286">
        <v>98.248005839130172</v>
      </c>
      <c r="AG8" s="286">
        <v>95.488613554828433</v>
      </c>
      <c r="AH8" s="286">
        <v>93.176985920638884</v>
      </c>
      <c r="AI8" s="286">
        <v>94.734448279533368</v>
      </c>
      <c r="AJ8" s="263"/>
      <c r="AK8" s="286">
        <v>95.913445717864519</v>
      </c>
      <c r="AL8" s="286">
        <v>97.03072469658116</v>
      </c>
      <c r="AM8" s="286">
        <v>99.116019324716646</v>
      </c>
      <c r="AN8" s="286">
        <v>100.05907133824157</v>
      </c>
      <c r="AO8" s="286"/>
      <c r="AP8" s="286">
        <v>100.55782373900118</v>
      </c>
      <c r="AQ8" s="286">
        <v>101.03828122149147</v>
      </c>
      <c r="AR8" s="286">
        <v>101.66873348480013</v>
      </c>
      <c r="AS8" s="286">
        <v>101.52541627264826</v>
      </c>
      <c r="AT8" s="286"/>
      <c r="AU8" s="286">
        <v>102.74147263009627</v>
      </c>
      <c r="AV8" s="286">
        <v>102.81089123992986</v>
      </c>
      <c r="AW8" s="286">
        <v>102</v>
      </c>
      <c r="AX8" s="286">
        <v>99.4</v>
      </c>
      <c r="AY8" s="286"/>
      <c r="AZ8" s="286">
        <v>101</v>
      </c>
      <c r="BA8" s="286">
        <v>102.1</v>
      </c>
      <c r="BB8" s="286">
        <v>103.5</v>
      </c>
      <c r="BC8" s="286">
        <v>100.8</v>
      </c>
      <c r="BD8" s="286"/>
      <c r="BE8" s="286">
        <v>102.7</v>
      </c>
      <c r="BF8" s="286">
        <v>106</v>
      </c>
      <c r="BG8" s="286">
        <v>109.5</v>
      </c>
      <c r="BH8" s="286">
        <v>114.6</v>
      </c>
      <c r="BI8" s="286"/>
      <c r="BJ8" s="286">
        <v>116.6</v>
      </c>
      <c r="BK8" s="286">
        <v>118.2</v>
      </c>
      <c r="BL8" s="286">
        <v>117.7</v>
      </c>
      <c r="BM8" s="286">
        <v>120.6</v>
      </c>
      <c r="BN8" s="286"/>
      <c r="BO8" s="286">
        <v>123.7</v>
      </c>
      <c r="BP8" s="499">
        <v>127.6</v>
      </c>
    </row>
    <row r="9" spans="1:107" x14ac:dyDescent="0.2">
      <c r="A9" s="471" t="s">
        <v>112</v>
      </c>
      <c r="B9" s="263">
        <f t="shared" si="0"/>
        <v>88.602706314648486</v>
      </c>
      <c r="C9" s="263">
        <f t="shared" si="1"/>
        <v>96.177139381784755</v>
      </c>
      <c r="D9" s="263">
        <f t="shared" si="2"/>
        <v>96.213920829868385</v>
      </c>
      <c r="E9" s="263">
        <f t="shared" si="3"/>
        <v>100.24027262785857</v>
      </c>
      <c r="F9" s="263">
        <f t="shared" si="4"/>
        <v>95.014058416306199</v>
      </c>
      <c r="G9" s="263">
        <f t="shared" si="5"/>
        <v>102.23680279340716</v>
      </c>
      <c r="H9" s="263">
        <f t="shared" si="6"/>
        <v>106.39502541442877</v>
      </c>
      <c r="I9" s="263">
        <f t="shared" si="7"/>
        <v>110.9</v>
      </c>
      <c r="J9" s="263">
        <f t="shared" si="8"/>
        <v>117.7</v>
      </c>
      <c r="K9" s="263">
        <f t="shared" si="9"/>
        <v>120.2</v>
      </c>
      <c r="L9" s="263">
        <f t="shared" si="10"/>
        <v>124.2</v>
      </c>
      <c r="M9" s="286">
        <v>83.335021705693975</v>
      </c>
      <c r="N9" s="286">
        <v>85.889349874241404</v>
      </c>
      <c r="O9" s="286">
        <v>88.602706314648486</v>
      </c>
      <c r="P9" s="179"/>
      <c r="Q9" s="286">
        <v>87.107200057129404</v>
      </c>
      <c r="R9" s="286">
        <v>87.557409349159002</v>
      </c>
      <c r="S9" s="286">
        <v>90.600026731326381</v>
      </c>
      <c r="T9" s="286">
        <v>96.177139381784755</v>
      </c>
      <c r="U9" s="179"/>
      <c r="V9" s="286">
        <v>101.36570401040066</v>
      </c>
      <c r="W9" s="286">
        <v>99.341806309097151</v>
      </c>
      <c r="X9" s="286">
        <v>102.54019054582528</v>
      </c>
      <c r="Y9" s="286">
        <v>96.213920829868385</v>
      </c>
      <c r="Z9" s="288"/>
      <c r="AA9" s="286">
        <v>97.970028917218428</v>
      </c>
      <c r="AB9" s="286">
        <v>90.027122842868209</v>
      </c>
      <c r="AC9" s="286">
        <v>98.035447070606125</v>
      </c>
      <c r="AD9" s="286">
        <v>100.24027262785857</v>
      </c>
      <c r="AE9" s="288"/>
      <c r="AF9" s="286">
        <v>91.452321377115936</v>
      </c>
      <c r="AG9" s="286">
        <v>99.647659927737607</v>
      </c>
      <c r="AH9" s="286">
        <v>97.22720878681146</v>
      </c>
      <c r="AI9" s="286">
        <v>95.014058416306199</v>
      </c>
      <c r="AJ9" s="288"/>
      <c r="AK9" s="286">
        <v>97.073465185730072</v>
      </c>
      <c r="AL9" s="286">
        <v>99.78448697765576</v>
      </c>
      <c r="AM9" s="286">
        <v>95.767678936336225</v>
      </c>
      <c r="AN9" s="286">
        <v>102.23680279340716</v>
      </c>
      <c r="AO9" s="286"/>
      <c r="AP9" s="286">
        <v>106.40982854183889</v>
      </c>
      <c r="AQ9" s="286">
        <v>105.58644798516794</v>
      </c>
      <c r="AR9" s="286">
        <v>106.62868602074096</v>
      </c>
      <c r="AS9" s="286">
        <v>106.39502541442877</v>
      </c>
      <c r="AT9" s="286"/>
      <c r="AU9" s="286">
        <v>108.41395375365481</v>
      </c>
      <c r="AV9" s="286">
        <v>109.20002797549833</v>
      </c>
      <c r="AW9" s="286">
        <v>109.8</v>
      </c>
      <c r="AX9" s="286">
        <v>110.9</v>
      </c>
      <c r="AY9" s="286"/>
      <c r="AZ9" s="286">
        <v>115.2</v>
      </c>
      <c r="BA9" s="286">
        <v>114.4</v>
      </c>
      <c r="BB9" s="286">
        <v>119.8</v>
      </c>
      <c r="BC9" s="286">
        <v>117.7</v>
      </c>
      <c r="BD9" s="286"/>
      <c r="BE9" s="286">
        <v>122.6</v>
      </c>
      <c r="BF9" s="286">
        <v>123.4</v>
      </c>
      <c r="BG9" s="286">
        <v>121.5</v>
      </c>
      <c r="BH9" s="286">
        <v>120.2</v>
      </c>
      <c r="BI9" s="286"/>
      <c r="BJ9" s="286">
        <v>120.3</v>
      </c>
      <c r="BK9" s="286">
        <v>122.9</v>
      </c>
      <c r="BL9" s="286">
        <v>123.3</v>
      </c>
      <c r="BM9" s="286">
        <v>124.2</v>
      </c>
      <c r="BN9" s="286"/>
      <c r="BO9" s="286">
        <v>128.6</v>
      </c>
      <c r="BP9" s="498">
        <v>133.19999999999999</v>
      </c>
    </row>
    <row r="10" spans="1:107" x14ac:dyDescent="0.2">
      <c r="A10" s="471" t="s">
        <v>113</v>
      </c>
      <c r="B10" s="263">
        <f t="shared" si="0"/>
        <v>79.757334065752545</v>
      </c>
      <c r="C10" s="263">
        <f t="shared" si="1"/>
        <v>86.063922736189198</v>
      </c>
      <c r="D10" s="263">
        <f t="shared" si="2"/>
        <v>96.949640719118008</v>
      </c>
      <c r="E10" s="263">
        <f t="shared" si="3"/>
        <v>106.26074822227085</v>
      </c>
      <c r="F10" s="263">
        <f t="shared" si="4"/>
        <v>100.057064591486</v>
      </c>
      <c r="G10" s="263">
        <f t="shared" si="5"/>
        <v>100.62306957542317</v>
      </c>
      <c r="H10" s="263">
        <f t="shared" si="6"/>
        <v>100.63420012430615</v>
      </c>
      <c r="I10" s="263">
        <f t="shared" si="7"/>
        <v>101.2</v>
      </c>
      <c r="J10" s="263">
        <f t="shared" si="8"/>
        <v>104.9</v>
      </c>
      <c r="K10" s="263">
        <f t="shared" si="9"/>
        <v>114</v>
      </c>
      <c r="L10" s="263">
        <f t="shared" si="10"/>
        <v>115.8</v>
      </c>
      <c r="M10" s="286">
        <v>62.87975423235951</v>
      </c>
      <c r="N10" s="286">
        <v>74.033176179771999</v>
      </c>
      <c r="O10" s="286">
        <v>79.757334065752545</v>
      </c>
      <c r="P10" s="179"/>
      <c r="Q10" s="286">
        <v>81.722129587465005</v>
      </c>
      <c r="R10" s="286">
        <v>83.587316187097997</v>
      </c>
      <c r="S10" s="286">
        <v>86.295555803518681</v>
      </c>
      <c r="T10" s="286">
        <v>86.063922736189198</v>
      </c>
      <c r="U10" s="179"/>
      <c r="V10" s="286">
        <v>94.505583458353186</v>
      </c>
      <c r="W10" s="286">
        <v>94.004336388530291</v>
      </c>
      <c r="X10" s="286">
        <v>96.360097334577972</v>
      </c>
      <c r="Y10" s="286">
        <v>96.949640719118008</v>
      </c>
      <c r="Z10" s="288"/>
      <c r="AA10" s="286">
        <v>94.639588828280523</v>
      </c>
      <c r="AB10" s="286">
        <v>95.77828506818345</v>
      </c>
      <c r="AC10" s="286">
        <v>103.67903831021177</v>
      </c>
      <c r="AD10" s="286">
        <v>106.26074822227085</v>
      </c>
      <c r="AE10" s="288"/>
      <c r="AF10" s="286">
        <v>101.53606005302747</v>
      </c>
      <c r="AG10" s="286">
        <v>100.49853154083796</v>
      </c>
      <c r="AH10" s="286">
        <v>99.763723053293944</v>
      </c>
      <c r="AI10" s="286">
        <v>100.057064591486</v>
      </c>
      <c r="AJ10" s="288"/>
      <c r="AK10" s="286">
        <v>97.901077652126176</v>
      </c>
      <c r="AL10" s="286">
        <v>98.470303579631562</v>
      </c>
      <c r="AM10" s="286">
        <v>99.732203360488867</v>
      </c>
      <c r="AN10" s="286">
        <v>100.62306957542317</v>
      </c>
      <c r="AO10" s="286"/>
      <c r="AP10" s="286">
        <v>101.37327088943704</v>
      </c>
      <c r="AQ10" s="286">
        <v>103.66874412165028</v>
      </c>
      <c r="AR10" s="286">
        <v>99.952888861237582</v>
      </c>
      <c r="AS10" s="286">
        <v>100.63420012430615</v>
      </c>
      <c r="AT10" s="286"/>
      <c r="AU10" s="286">
        <v>102.91056586471916</v>
      </c>
      <c r="AV10" s="286">
        <v>102.82713745568968</v>
      </c>
      <c r="AW10" s="286">
        <v>101.6</v>
      </c>
      <c r="AX10" s="286">
        <v>101.2</v>
      </c>
      <c r="AY10" s="286"/>
      <c r="AZ10" s="286">
        <v>106</v>
      </c>
      <c r="BA10" s="286">
        <v>104.4</v>
      </c>
      <c r="BB10" s="286">
        <v>98.9</v>
      </c>
      <c r="BC10" s="286">
        <v>104.9</v>
      </c>
      <c r="BD10" s="286"/>
      <c r="BE10" s="286">
        <v>107.1</v>
      </c>
      <c r="BF10" s="286">
        <v>110.6</v>
      </c>
      <c r="BG10" s="286">
        <v>112.6</v>
      </c>
      <c r="BH10" s="286">
        <v>114</v>
      </c>
      <c r="BI10" s="286"/>
      <c r="BJ10" s="286">
        <v>114.8</v>
      </c>
      <c r="BK10" s="286">
        <v>116</v>
      </c>
      <c r="BL10" s="286">
        <v>115.4</v>
      </c>
      <c r="BM10" s="286">
        <v>115.8</v>
      </c>
      <c r="BN10" s="286"/>
      <c r="BO10" s="286">
        <v>116.8</v>
      </c>
      <c r="BP10" s="498">
        <v>119.6</v>
      </c>
    </row>
    <row r="11" spans="1:107" x14ac:dyDescent="0.2">
      <c r="A11" s="471" t="s">
        <v>114</v>
      </c>
      <c r="B11" s="263">
        <f t="shared" si="0"/>
        <v>76.709662944252926</v>
      </c>
      <c r="C11" s="263">
        <f t="shared" si="1"/>
        <v>83.326272508142139</v>
      </c>
      <c r="D11" s="263">
        <f t="shared" si="2"/>
        <v>85.240488723847591</v>
      </c>
      <c r="E11" s="263">
        <f t="shared" si="3"/>
        <v>96.210314967339812</v>
      </c>
      <c r="F11" s="263">
        <f t="shared" si="4"/>
        <v>100.95419503440992</v>
      </c>
      <c r="G11" s="263">
        <f t="shared" si="5"/>
        <v>100.00054717350871</v>
      </c>
      <c r="H11" s="263">
        <f t="shared" si="6"/>
        <v>98.159701293779193</v>
      </c>
      <c r="I11" s="263">
        <f t="shared" si="7"/>
        <v>97.5</v>
      </c>
      <c r="J11" s="263">
        <f t="shared" si="8"/>
        <v>102.7</v>
      </c>
      <c r="K11" s="263">
        <f t="shared" si="9"/>
        <v>108.7</v>
      </c>
      <c r="L11" s="263">
        <f t="shared" si="10"/>
        <v>115.2</v>
      </c>
      <c r="M11" s="286">
        <v>73.029497582373537</v>
      </c>
      <c r="N11" s="286">
        <v>72.211666489836105</v>
      </c>
      <c r="O11" s="286">
        <v>76.709662944252926</v>
      </c>
      <c r="P11" s="179"/>
      <c r="Q11" s="286">
        <v>75.333513465536726</v>
      </c>
      <c r="R11" s="286">
        <v>82.076954804314568</v>
      </c>
      <c r="S11" s="286">
        <v>82.971355255114148</v>
      </c>
      <c r="T11" s="286">
        <v>83.326272508142139</v>
      </c>
      <c r="U11" s="179"/>
      <c r="V11" s="286">
        <v>82.171343767791654</v>
      </c>
      <c r="W11" s="286">
        <v>80.362731557729361</v>
      </c>
      <c r="X11" s="286">
        <v>83.40653588918056</v>
      </c>
      <c r="Y11" s="286">
        <v>85.240488723847591</v>
      </c>
      <c r="Z11" s="288"/>
      <c r="AA11" s="286">
        <v>85.95131155740485</v>
      </c>
      <c r="AB11" s="286">
        <v>86.267060483797238</v>
      </c>
      <c r="AC11" s="286">
        <v>94.560329721392435</v>
      </c>
      <c r="AD11" s="286">
        <v>96.210314967339812</v>
      </c>
      <c r="AE11" s="288"/>
      <c r="AF11" s="286">
        <v>98.801018823993843</v>
      </c>
      <c r="AG11" s="286">
        <v>100.38448349772335</v>
      </c>
      <c r="AH11" s="286">
        <v>100.77766928243182</v>
      </c>
      <c r="AI11" s="286">
        <v>100.95419503440992</v>
      </c>
      <c r="AJ11" s="288"/>
      <c r="AK11" s="286">
        <v>99.525261005881589</v>
      </c>
      <c r="AL11" s="286">
        <v>100.63906801704945</v>
      </c>
      <c r="AM11" s="286">
        <v>100.80613260080922</v>
      </c>
      <c r="AN11" s="286">
        <v>100.00054717350871</v>
      </c>
      <c r="AO11" s="286"/>
      <c r="AP11" s="286">
        <v>99.887111621275395</v>
      </c>
      <c r="AQ11" s="286">
        <v>100.43240212317812</v>
      </c>
      <c r="AR11" s="286">
        <v>98.494086641351075</v>
      </c>
      <c r="AS11" s="286">
        <v>98.159701293779193</v>
      </c>
      <c r="AT11" s="286"/>
      <c r="AU11" s="286">
        <v>100.70569317466828</v>
      </c>
      <c r="AV11" s="286">
        <v>101.0153757250546</v>
      </c>
      <c r="AW11" s="286">
        <v>100.2</v>
      </c>
      <c r="AX11" s="286">
        <v>97.5</v>
      </c>
      <c r="AY11" s="286"/>
      <c r="AZ11" s="286">
        <v>104.1</v>
      </c>
      <c r="BA11" s="286">
        <v>101.6</v>
      </c>
      <c r="BB11" s="286">
        <v>102.3</v>
      </c>
      <c r="BC11" s="286">
        <v>102.7</v>
      </c>
      <c r="BD11" s="286"/>
      <c r="BE11" s="286">
        <v>103.6</v>
      </c>
      <c r="BF11" s="286">
        <v>106.4</v>
      </c>
      <c r="BG11" s="286">
        <v>106.6</v>
      </c>
      <c r="BH11" s="286">
        <v>108.7</v>
      </c>
      <c r="BI11" s="286"/>
      <c r="BJ11" s="286">
        <v>111.7</v>
      </c>
      <c r="BK11" s="286">
        <v>111.6</v>
      </c>
      <c r="BL11" s="286">
        <v>114</v>
      </c>
      <c r="BM11" s="286">
        <v>115.2</v>
      </c>
      <c r="BN11" s="286"/>
      <c r="BO11" s="286">
        <v>114.8</v>
      </c>
      <c r="BP11" s="498">
        <v>116.6</v>
      </c>
    </row>
    <row r="12" spans="1:107" x14ac:dyDescent="0.2">
      <c r="A12" s="471" t="s">
        <v>115</v>
      </c>
      <c r="B12" s="263">
        <f t="shared" si="0"/>
        <v>104.00706415514851</v>
      </c>
      <c r="C12" s="263">
        <f t="shared" si="1"/>
        <v>105.11341150407529</v>
      </c>
      <c r="D12" s="263">
        <f t="shared" si="2"/>
        <v>101.2038806680998</v>
      </c>
      <c r="E12" s="263">
        <f t="shared" si="3"/>
        <v>104.29785444603962</v>
      </c>
      <c r="F12" s="263">
        <f t="shared" si="4"/>
        <v>94.859656260198534</v>
      </c>
      <c r="G12" s="263">
        <f t="shared" si="5"/>
        <v>99.70438051120216</v>
      </c>
      <c r="H12" s="263">
        <f t="shared" si="6"/>
        <v>98.341657218845356</v>
      </c>
      <c r="I12" s="263">
        <f t="shared" si="7"/>
        <v>97.7</v>
      </c>
      <c r="J12" s="263">
        <f t="shared" si="8"/>
        <v>98.3</v>
      </c>
      <c r="K12" s="263">
        <f t="shared" si="9"/>
        <v>107.9</v>
      </c>
      <c r="L12" s="263">
        <f t="shared" si="10"/>
        <v>108.6</v>
      </c>
      <c r="M12" s="286">
        <v>104.91656212661893</v>
      </c>
      <c r="N12" s="286">
        <v>99.649760657737403</v>
      </c>
      <c r="O12" s="286">
        <v>104.00706415514851</v>
      </c>
      <c r="P12" s="179"/>
      <c r="Q12" s="286">
        <v>99.700739246808268</v>
      </c>
      <c r="R12" s="286">
        <v>101.35767588505809</v>
      </c>
      <c r="S12" s="286">
        <v>102.98171030367971</v>
      </c>
      <c r="T12" s="286">
        <v>105.11341150407529</v>
      </c>
      <c r="U12" s="179"/>
      <c r="V12" s="286">
        <v>102.21137886459334</v>
      </c>
      <c r="W12" s="286">
        <v>100.72274988922815</v>
      </c>
      <c r="X12" s="286">
        <v>98.297952283477116</v>
      </c>
      <c r="Y12" s="286">
        <v>101.2038806680998</v>
      </c>
      <c r="Z12" s="288"/>
      <c r="AA12" s="286">
        <v>103.25263795129942</v>
      </c>
      <c r="AB12" s="286">
        <v>104.33697720893909</v>
      </c>
      <c r="AC12" s="286">
        <v>102.4581274437395</v>
      </c>
      <c r="AD12" s="286">
        <v>104.29785444603962</v>
      </c>
      <c r="AE12" s="288"/>
      <c r="AF12" s="286">
        <v>101.68067234528971</v>
      </c>
      <c r="AG12" s="286">
        <v>97.046684951117882</v>
      </c>
      <c r="AH12" s="286">
        <v>95.5933169644331</v>
      </c>
      <c r="AI12" s="286">
        <v>94.859656260198534</v>
      </c>
      <c r="AJ12" s="288"/>
      <c r="AK12" s="286">
        <v>96.665958172844739</v>
      </c>
      <c r="AL12" s="286">
        <v>96.714670235478692</v>
      </c>
      <c r="AM12" s="286">
        <v>97.022645394264373</v>
      </c>
      <c r="AN12" s="286">
        <v>99.70438051120216</v>
      </c>
      <c r="AO12" s="286"/>
      <c r="AP12" s="286">
        <v>100.72017928842124</v>
      </c>
      <c r="AQ12" s="286">
        <v>102.1651913739942</v>
      </c>
      <c r="AR12" s="286">
        <v>97.215876498435478</v>
      </c>
      <c r="AS12" s="286">
        <v>98.341657218845356</v>
      </c>
      <c r="AT12" s="286"/>
      <c r="AU12" s="286">
        <v>100.73254748771585</v>
      </c>
      <c r="AV12" s="286">
        <v>100.84539969646984</v>
      </c>
      <c r="AW12" s="286">
        <v>101.6</v>
      </c>
      <c r="AX12" s="286">
        <v>97.7</v>
      </c>
      <c r="AY12" s="286"/>
      <c r="AZ12" s="286">
        <v>96</v>
      </c>
      <c r="BA12" s="286">
        <v>104.9</v>
      </c>
      <c r="BB12" s="286">
        <v>99.2</v>
      </c>
      <c r="BC12" s="286">
        <v>98.3</v>
      </c>
      <c r="BD12" s="286"/>
      <c r="BE12" s="286">
        <v>99.1</v>
      </c>
      <c r="BF12" s="286">
        <v>104.6</v>
      </c>
      <c r="BG12" s="286">
        <v>105.9</v>
      </c>
      <c r="BH12" s="286">
        <v>107.9</v>
      </c>
      <c r="BI12" s="286"/>
      <c r="BJ12" s="286">
        <v>107.8</v>
      </c>
      <c r="BK12" s="286">
        <v>108.5</v>
      </c>
      <c r="BL12" s="286">
        <v>108.4</v>
      </c>
      <c r="BM12" s="286">
        <v>108.6</v>
      </c>
      <c r="BN12" s="286"/>
      <c r="BO12" s="286">
        <v>109</v>
      </c>
      <c r="BP12" s="498">
        <v>110.3</v>
      </c>
    </row>
    <row r="13" spans="1:107" x14ac:dyDescent="0.2">
      <c r="A13" s="471" t="s">
        <v>116</v>
      </c>
      <c r="B13" s="263">
        <f t="shared" si="0"/>
        <v>94.694471306960082</v>
      </c>
      <c r="C13" s="263">
        <f t="shared" si="1"/>
        <v>95.719357369578603</v>
      </c>
      <c r="D13" s="263">
        <f t="shared" si="2"/>
        <v>99.557499181819807</v>
      </c>
      <c r="E13" s="263">
        <f t="shared" si="3"/>
        <v>99.76980197677085</v>
      </c>
      <c r="F13" s="263">
        <f t="shared" si="4"/>
        <v>99.258899723913075</v>
      </c>
      <c r="G13" s="263">
        <f t="shared" si="5"/>
        <v>100.94692332266213</v>
      </c>
      <c r="H13" s="263">
        <f t="shared" si="6"/>
        <v>94.516653970093031</v>
      </c>
      <c r="I13" s="263">
        <f t="shared" si="7"/>
        <v>99.1</v>
      </c>
      <c r="J13" s="263">
        <f t="shared" si="8"/>
        <v>91.3</v>
      </c>
      <c r="K13" s="263">
        <f t="shared" si="9"/>
        <v>99</v>
      </c>
      <c r="L13" s="263">
        <f t="shared" si="10"/>
        <v>121.4</v>
      </c>
      <c r="M13" s="286">
        <v>87.02733772411942</v>
      </c>
      <c r="N13" s="286">
        <v>89.616985711163366</v>
      </c>
      <c r="O13" s="286">
        <v>94.694471306960082</v>
      </c>
      <c r="P13" s="179"/>
      <c r="Q13" s="286">
        <v>89.387299753261601</v>
      </c>
      <c r="R13" s="286">
        <v>94.837696676815369</v>
      </c>
      <c r="S13" s="286">
        <v>95.262005786905263</v>
      </c>
      <c r="T13" s="286">
        <v>95.719357369578603</v>
      </c>
      <c r="U13" s="179"/>
      <c r="V13" s="286">
        <v>96.174974756393027</v>
      </c>
      <c r="W13" s="286">
        <v>97.033889664759229</v>
      </c>
      <c r="X13" s="286">
        <v>98.278307090368372</v>
      </c>
      <c r="Y13" s="286">
        <v>99.557499181819807</v>
      </c>
      <c r="Z13" s="288"/>
      <c r="AA13" s="286">
        <v>102.54236280584902</v>
      </c>
      <c r="AB13" s="286">
        <v>101.08148722809098</v>
      </c>
      <c r="AC13" s="286">
        <v>101.1251886961108</v>
      </c>
      <c r="AD13" s="286">
        <v>99.76980197677085</v>
      </c>
      <c r="AE13" s="288"/>
      <c r="AF13" s="286">
        <v>100.09212119940119</v>
      </c>
      <c r="AG13" s="286">
        <v>98.567299132313806</v>
      </c>
      <c r="AH13" s="286">
        <v>99.336906792250218</v>
      </c>
      <c r="AI13" s="286">
        <v>99.258899723913075</v>
      </c>
      <c r="AJ13" s="288"/>
      <c r="AK13" s="286">
        <v>98.407311474288932</v>
      </c>
      <c r="AL13" s="286">
        <v>99.296181474584131</v>
      </c>
      <c r="AM13" s="286">
        <v>100.48788597548169</v>
      </c>
      <c r="AN13" s="286">
        <v>100.94692332266213</v>
      </c>
      <c r="AO13" s="286"/>
      <c r="AP13" s="286">
        <v>99.964989388635217</v>
      </c>
      <c r="AQ13" s="286">
        <v>99.055804788037094</v>
      </c>
      <c r="AR13" s="286">
        <v>94.491169654067562</v>
      </c>
      <c r="AS13" s="286">
        <v>94.516653970093031</v>
      </c>
      <c r="AT13" s="286"/>
      <c r="AU13" s="286">
        <v>96.925946869235574</v>
      </c>
      <c r="AV13" s="286">
        <v>97.769687741689538</v>
      </c>
      <c r="AW13" s="286">
        <v>96.6</v>
      </c>
      <c r="AX13" s="286">
        <v>99.1</v>
      </c>
      <c r="AY13" s="286"/>
      <c r="AZ13" s="286">
        <v>95.8</v>
      </c>
      <c r="BA13" s="286">
        <v>94.2</v>
      </c>
      <c r="BB13" s="286">
        <v>91.6</v>
      </c>
      <c r="BC13" s="286">
        <v>91.3</v>
      </c>
      <c r="BD13" s="286"/>
      <c r="BE13" s="286">
        <v>93.9</v>
      </c>
      <c r="BF13" s="286">
        <v>93.1</v>
      </c>
      <c r="BG13" s="286">
        <v>95.7</v>
      </c>
      <c r="BH13" s="286">
        <v>99</v>
      </c>
      <c r="BI13" s="286"/>
      <c r="BJ13" s="286">
        <v>101</v>
      </c>
      <c r="BK13" s="286">
        <v>108.8</v>
      </c>
      <c r="BL13" s="286">
        <v>115.7</v>
      </c>
      <c r="BM13" s="286">
        <v>121.4</v>
      </c>
      <c r="BN13" s="286"/>
      <c r="BO13" s="286">
        <v>120.7</v>
      </c>
      <c r="BP13" s="498">
        <v>122.7</v>
      </c>
    </row>
    <row r="14" spans="1:107" x14ac:dyDescent="0.2">
      <c r="A14" s="471" t="s">
        <v>117</v>
      </c>
      <c r="B14" s="263">
        <f t="shared" si="0"/>
        <v>81.766650629484076</v>
      </c>
      <c r="C14" s="263">
        <f t="shared" si="1"/>
        <v>85.40809193398394</v>
      </c>
      <c r="D14" s="263">
        <f t="shared" si="2"/>
        <v>91.708740469483345</v>
      </c>
      <c r="E14" s="263">
        <f t="shared" si="3"/>
        <v>92.698625522414702</v>
      </c>
      <c r="F14" s="263">
        <f t="shared" si="4"/>
        <v>96.954058444137104</v>
      </c>
      <c r="G14" s="263">
        <f t="shared" si="5"/>
        <v>100.31408352699003</v>
      </c>
      <c r="H14" s="263">
        <f t="shared" si="6"/>
        <v>102.22388101971028</v>
      </c>
      <c r="I14" s="263">
        <f t="shared" si="7"/>
        <v>104.7</v>
      </c>
      <c r="J14" s="263">
        <f t="shared" si="8"/>
        <v>106</v>
      </c>
      <c r="K14" s="263">
        <f t="shared" si="9"/>
        <v>128.69999999999999</v>
      </c>
      <c r="L14" s="263">
        <f t="shared" si="10"/>
        <v>152.6</v>
      </c>
      <c r="M14" s="286">
        <v>67.199310179725131</v>
      </c>
      <c r="N14" s="286">
        <v>82.514892149771882</v>
      </c>
      <c r="O14" s="286">
        <v>81.766650629484076</v>
      </c>
      <c r="P14" s="179"/>
      <c r="Q14" s="286">
        <v>85.207767182368244</v>
      </c>
      <c r="R14" s="286">
        <v>84.614417277386167</v>
      </c>
      <c r="S14" s="286">
        <v>85.541087815442566</v>
      </c>
      <c r="T14" s="286">
        <v>85.40809193398394</v>
      </c>
      <c r="U14" s="179"/>
      <c r="V14" s="286">
        <v>87.019883940601233</v>
      </c>
      <c r="W14" s="286">
        <v>90.881217813343468</v>
      </c>
      <c r="X14" s="286">
        <v>90.491824700060533</v>
      </c>
      <c r="Y14" s="286">
        <v>91.708740469483345</v>
      </c>
      <c r="Z14" s="288"/>
      <c r="AA14" s="286">
        <v>92.630170671256295</v>
      </c>
      <c r="AB14" s="286">
        <v>92.550340641186821</v>
      </c>
      <c r="AC14" s="286">
        <v>92.740068792293869</v>
      </c>
      <c r="AD14" s="286">
        <v>92.698625522414702</v>
      </c>
      <c r="AE14" s="288"/>
      <c r="AF14" s="286">
        <v>95.248273194156852</v>
      </c>
      <c r="AG14" s="286">
        <v>96.49731419717213</v>
      </c>
      <c r="AH14" s="286">
        <v>98.47654718556818</v>
      </c>
      <c r="AI14" s="286">
        <v>96.954058444137104</v>
      </c>
      <c r="AJ14" s="288"/>
      <c r="AK14" s="286">
        <v>96.678328198831849</v>
      </c>
      <c r="AL14" s="286">
        <v>98.266088514749839</v>
      </c>
      <c r="AM14" s="286">
        <v>99.793784861385205</v>
      </c>
      <c r="AN14" s="286">
        <v>100.31408352699003</v>
      </c>
      <c r="AO14" s="286"/>
      <c r="AP14" s="286">
        <v>100.46822161964954</v>
      </c>
      <c r="AQ14" s="286">
        <v>101.57602251579986</v>
      </c>
      <c r="AR14" s="286">
        <v>102.49438075414648</v>
      </c>
      <c r="AS14" s="286">
        <v>102.22388101971028</v>
      </c>
      <c r="AT14" s="286"/>
      <c r="AU14" s="286">
        <v>103.66527069686107</v>
      </c>
      <c r="AV14" s="286">
        <v>104.80165616943258</v>
      </c>
      <c r="AW14" s="286">
        <v>105.3</v>
      </c>
      <c r="AX14" s="286">
        <v>104.7</v>
      </c>
      <c r="AY14" s="286"/>
      <c r="AZ14" s="286">
        <v>102</v>
      </c>
      <c r="BA14" s="286">
        <v>121.7</v>
      </c>
      <c r="BB14" s="286">
        <v>111.8</v>
      </c>
      <c r="BC14" s="286">
        <v>106</v>
      </c>
      <c r="BD14" s="286"/>
      <c r="BE14" s="286">
        <v>105.3</v>
      </c>
      <c r="BF14" s="286">
        <v>107.2</v>
      </c>
      <c r="BG14" s="286">
        <v>109.6</v>
      </c>
      <c r="BH14" s="286">
        <v>128.69999999999999</v>
      </c>
      <c r="BI14" s="286"/>
      <c r="BJ14" s="286">
        <v>149.30000000000001</v>
      </c>
      <c r="BK14" s="286">
        <v>149.69999999999999</v>
      </c>
      <c r="BL14" s="286">
        <v>149.80000000000001</v>
      </c>
      <c r="BM14" s="286">
        <v>152.6</v>
      </c>
      <c r="BN14" s="286"/>
      <c r="BO14" s="286">
        <v>154.1</v>
      </c>
      <c r="BP14" s="498">
        <v>152.9</v>
      </c>
    </row>
    <row r="15" spans="1:107" x14ac:dyDescent="0.2">
      <c r="A15" s="471" t="s">
        <v>118</v>
      </c>
      <c r="B15" s="263">
        <f t="shared" si="0"/>
        <v>90.066474313047834</v>
      </c>
      <c r="C15" s="263">
        <f t="shared" si="1"/>
        <v>97.520622490667236</v>
      </c>
      <c r="D15" s="263">
        <f t="shared" si="2"/>
        <v>95.167593259689241</v>
      </c>
      <c r="E15" s="263">
        <f t="shared" si="3"/>
        <v>106.79439098836463</v>
      </c>
      <c r="F15" s="263">
        <f t="shared" si="4"/>
        <v>101.64020653175103</v>
      </c>
      <c r="G15" s="263">
        <f t="shared" si="5"/>
        <v>99.43849108277935</v>
      </c>
      <c r="H15" s="263">
        <f t="shared" si="6"/>
        <v>100.83719939297863</v>
      </c>
      <c r="I15" s="263">
        <f t="shared" si="7"/>
        <v>106.5</v>
      </c>
      <c r="J15" s="263">
        <f t="shared" si="8"/>
        <v>107.3</v>
      </c>
      <c r="K15" s="263">
        <f t="shared" si="9"/>
        <v>120.6</v>
      </c>
      <c r="L15" s="263">
        <f t="shared" si="10"/>
        <v>126.7</v>
      </c>
      <c r="M15" s="286">
        <v>75.641794571000503</v>
      </c>
      <c r="N15" s="286">
        <v>92.043697165328325</v>
      </c>
      <c r="O15" s="286">
        <v>90.066474313047834</v>
      </c>
      <c r="P15" s="179"/>
      <c r="Q15" s="286">
        <v>95.324652633235303</v>
      </c>
      <c r="R15" s="286">
        <v>93.667485163777954</v>
      </c>
      <c r="S15" s="286">
        <v>96.315709414305132</v>
      </c>
      <c r="T15" s="286">
        <v>97.520622490667236</v>
      </c>
      <c r="U15" s="179"/>
      <c r="V15" s="286">
        <v>96.861635002814978</v>
      </c>
      <c r="W15" s="286">
        <v>98.359318534437122</v>
      </c>
      <c r="X15" s="286">
        <v>96.854809206966152</v>
      </c>
      <c r="Y15" s="286">
        <v>95.167593259689241</v>
      </c>
      <c r="Z15" s="288"/>
      <c r="AA15" s="286">
        <v>104.89273873100886</v>
      </c>
      <c r="AB15" s="286">
        <v>99.55956779703908</v>
      </c>
      <c r="AC15" s="286">
        <v>106.07728557312177</v>
      </c>
      <c r="AD15" s="286">
        <v>106.79439098836463</v>
      </c>
      <c r="AE15" s="288"/>
      <c r="AF15" s="286">
        <v>107.12550089676884</v>
      </c>
      <c r="AG15" s="286">
        <v>102.05934980901752</v>
      </c>
      <c r="AH15" s="286">
        <v>101.35782862752403</v>
      </c>
      <c r="AI15" s="286">
        <v>101.64020653175103</v>
      </c>
      <c r="AJ15" s="288"/>
      <c r="AK15" s="286">
        <v>105.49555200393542</v>
      </c>
      <c r="AL15" s="286">
        <v>101.66612303273219</v>
      </c>
      <c r="AM15" s="286">
        <v>100.24073879109669</v>
      </c>
      <c r="AN15" s="286">
        <v>99.43849108277935</v>
      </c>
      <c r="AO15" s="286"/>
      <c r="AP15" s="286">
        <v>100.2210149544695</v>
      </c>
      <c r="AQ15" s="286">
        <v>100.40884394455556</v>
      </c>
      <c r="AR15" s="286">
        <v>101.082799567606</v>
      </c>
      <c r="AS15" s="286">
        <v>100.83719939297863</v>
      </c>
      <c r="AT15" s="286"/>
      <c r="AU15" s="286">
        <v>105.75306978540857</v>
      </c>
      <c r="AV15" s="286">
        <v>105.11220706189712</v>
      </c>
      <c r="AW15" s="286">
        <v>106.1</v>
      </c>
      <c r="AX15" s="286">
        <v>106.5</v>
      </c>
      <c r="AY15" s="286"/>
      <c r="AZ15" s="286">
        <v>105</v>
      </c>
      <c r="BA15" s="286">
        <v>109.1</v>
      </c>
      <c r="BB15" s="286">
        <v>107.6</v>
      </c>
      <c r="BC15" s="286">
        <v>107.3</v>
      </c>
      <c r="BD15" s="286"/>
      <c r="BE15" s="286">
        <v>116.3</v>
      </c>
      <c r="BF15" s="286">
        <v>115.9</v>
      </c>
      <c r="BG15" s="286">
        <v>119.1</v>
      </c>
      <c r="BH15" s="286">
        <v>120.6</v>
      </c>
      <c r="BI15" s="286"/>
      <c r="BJ15" s="286">
        <v>124.4</v>
      </c>
      <c r="BK15" s="286">
        <v>125.8</v>
      </c>
      <c r="BL15" s="286">
        <v>126.4</v>
      </c>
      <c r="BM15" s="286">
        <v>126.7</v>
      </c>
      <c r="BN15" s="286"/>
      <c r="BO15" s="286">
        <v>126.6</v>
      </c>
      <c r="BP15" s="498">
        <v>126.8</v>
      </c>
    </row>
    <row r="16" spans="1:107" s="177" customFormat="1" ht="13.2" x14ac:dyDescent="0.2">
      <c r="A16" s="465"/>
      <c r="D16" s="470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8"/>
      <c r="AO16" s="468"/>
      <c r="AP16" s="468"/>
      <c r="AQ16" s="468"/>
      <c r="AR16" s="468"/>
      <c r="AS16" s="468"/>
      <c r="AT16" s="468"/>
      <c r="AU16" s="846" t="s">
        <v>125</v>
      </c>
      <c r="AV16" s="846"/>
      <c r="AW16" s="846"/>
      <c r="AX16" s="846"/>
      <c r="AY16" s="846"/>
      <c r="AZ16" s="846"/>
      <c r="BA16" s="846"/>
      <c r="BB16" s="846"/>
      <c r="BC16" s="846"/>
      <c r="BD16" s="846"/>
      <c r="BE16" s="846"/>
      <c r="BF16" s="846"/>
      <c r="BG16" s="846"/>
      <c r="BH16" s="846"/>
      <c r="BI16" s="473"/>
      <c r="BJ16" s="473"/>
      <c r="BK16" s="473"/>
      <c r="BL16" s="473"/>
      <c r="BM16" s="473"/>
      <c r="BN16" s="463"/>
      <c r="BO16" s="463"/>
      <c r="BP16" s="464"/>
      <c r="BQ16" s="463"/>
      <c r="BR16" s="463"/>
      <c r="BS16" s="463"/>
      <c r="BT16" s="463"/>
      <c r="BU16" s="463"/>
      <c r="BV16" s="463"/>
      <c r="BW16" s="463"/>
      <c r="BX16" s="463"/>
      <c r="BY16" s="463"/>
      <c r="BZ16" s="463"/>
      <c r="CA16" s="463"/>
      <c r="CB16" s="463"/>
      <c r="CC16" s="463"/>
      <c r="CD16" s="463"/>
      <c r="CE16" s="463"/>
      <c r="CF16" s="463"/>
      <c r="CG16" s="463"/>
      <c r="CH16" s="463"/>
      <c r="CI16" s="463"/>
      <c r="CJ16" s="463"/>
      <c r="CK16" s="463"/>
      <c r="CL16" s="463"/>
      <c r="CM16" s="463"/>
      <c r="CN16" s="463"/>
      <c r="CO16" s="463"/>
      <c r="CP16" s="463"/>
      <c r="CQ16" s="463"/>
      <c r="CR16" s="463"/>
      <c r="CS16" s="463"/>
      <c r="CT16" s="463"/>
      <c r="CU16" s="463"/>
      <c r="CV16" s="463"/>
      <c r="CW16" s="463"/>
      <c r="CX16" s="463"/>
      <c r="CY16" s="463"/>
      <c r="CZ16" s="463"/>
      <c r="DA16" s="463"/>
      <c r="DB16" s="463"/>
      <c r="DC16" s="464"/>
    </row>
    <row r="17" spans="1:107" x14ac:dyDescent="0.2">
      <c r="A17" s="178" t="s">
        <v>94</v>
      </c>
      <c r="B17" s="263"/>
      <c r="C17" s="263">
        <f>T17</f>
        <v>7.3360163092174968</v>
      </c>
      <c r="D17" s="263">
        <f>Y17</f>
        <v>1.8244313319581096</v>
      </c>
      <c r="E17" s="263">
        <f>AD17</f>
        <v>6.3942596595772061</v>
      </c>
      <c r="F17" s="263">
        <f>AI17</f>
        <v>-3.1933987990069523</v>
      </c>
      <c r="G17" s="263">
        <f>AN17</f>
        <v>3.6674582063114247</v>
      </c>
      <c r="H17" s="263">
        <f>AS17</f>
        <v>0.7303557880740108</v>
      </c>
      <c r="I17" s="263">
        <f>AX17</f>
        <v>3.0122266797813602</v>
      </c>
      <c r="J17" s="263">
        <f>BC17</f>
        <v>3.0505243088655654</v>
      </c>
      <c r="K17" s="263">
        <f>BH17</f>
        <v>6.2904717853839109</v>
      </c>
      <c r="L17" s="263">
        <f>BM17</f>
        <v>7.1366405570060909</v>
      </c>
      <c r="M17" s="185"/>
      <c r="N17" s="185"/>
      <c r="O17" s="185"/>
      <c r="P17" s="185"/>
      <c r="Q17" s="185"/>
      <c r="R17" s="269">
        <f t="shared" ref="R17:R26" si="11">(R6/M6-1)*100</f>
        <v>11.590854803723261</v>
      </c>
      <c r="S17" s="268">
        <f t="shared" ref="S17:S26" si="12">(S6/N6-1)*100</f>
        <v>7.4140728663301791</v>
      </c>
      <c r="T17" s="268">
        <f t="shared" ref="T17:T26" si="13">(T6/O6-1)*100</f>
        <v>7.3360163092174968</v>
      </c>
      <c r="U17" s="185"/>
      <c r="V17" s="263">
        <f t="shared" ref="V17:V26" si="14">(V6/Q6-1)*100</f>
        <v>11.193416788078814</v>
      </c>
      <c r="W17" s="263">
        <f t="shared" ref="W17:W26" si="15">(W6/R6-1)*100</f>
        <v>8.4182959886186062</v>
      </c>
      <c r="X17" s="263">
        <f t="shared" ref="X17:X26" si="16">(X6/S6-1)*100</f>
        <v>7.7296972490932481</v>
      </c>
      <c r="Y17" s="263">
        <f t="shared" ref="Y17:Y26" si="17">(Y6/T6-1)*100</f>
        <v>1.8244313319581096</v>
      </c>
      <c r="Z17" s="263"/>
      <c r="AA17" s="263">
        <f t="shared" ref="AA17:AA26" si="18">(AA6/V6-1)*100</f>
        <v>0.70967591644632844</v>
      </c>
      <c r="AB17" s="263">
        <f t="shared" ref="AB17:AB26" si="19">(AB6/W6-1)*100</f>
        <v>-2.6980504259518034</v>
      </c>
      <c r="AC17" s="263">
        <f t="shared" ref="AC17:AC26" si="20">(AC6/X6-1)*100</f>
        <v>2.0097628660832312</v>
      </c>
      <c r="AD17" s="263">
        <f t="shared" ref="AD17:AD26" si="21">(AD6/Y6-1)*100</f>
        <v>6.3942596595772061</v>
      </c>
      <c r="AE17" s="263"/>
      <c r="AF17" s="263">
        <f t="shared" ref="AF17:AF26" si="22">(AF6/AA6-1)*100</f>
        <v>-8.2339188331881363E-2</v>
      </c>
      <c r="AG17" s="263">
        <f t="shared" ref="AG17:AG26" si="23">(AG6/AB6-1)*100</f>
        <v>7.5798003228311428</v>
      </c>
      <c r="AH17" s="263">
        <f t="shared" ref="AH17:AH26" si="24">(AH6/AC6-1)*100</f>
        <v>-0.48721521947800994</v>
      </c>
      <c r="AI17" s="263">
        <f t="shared" ref="AI17:AI26" si="25">(AI6/AD6-1)*100</f>
        <v>-3.1933987990069523</v>
      </c>
      <c r="AJ17" s="263"/>
      <c r="AK17" s="263">
        <f t="shared" ref="AK17:AK26" si="26">(AK6/AF6-1)*100</f>
        <v>1.8907472065528008</v>
      </c>
      <c r="AL17" s="263">
        <f t="shared" ref="AL17:AL26" si="27">(AL6/AG6-1)*100</f>
        <v>-3.165140418479595E-2</v>
      </c>
      <c r="AM17" s="263">
        <f t="shared" ref="AM17:AM26" si="28">(AM6/AH6-1)*100</f>
        <v>-0.57524109802241652</v>
      </c>
      <c r="AN17" s="288">
        <f t="shared" ref="AN17:AN26" si="29">(AN6/AI6-1)*100</f>
        <v>3.6674582063114247</v>
      </c>
      <c r="AO17" s="288"/>
      <c r="AP17" s="288">
        <f t="shared" ref="AP17:AP26" si="30">(AP6/AK6-1)*100</f>
        <v>4.490949164939928</v>
      </c>
      <c r="AQ17" s="288">
        <f t="shared" ref="AQ17:AQ26" si="31">(AQ6/AL6-1)*100</f>
        <v>3.1218498751941715</v>
      </c>
      <c r="AR17" s="288">
        <f t="shared" ref="AR17:AR26" si="32">(AR6/AM6-1)*100</f>
        <v>3.9801861307255271</v>
      </c>
      <c r="AS17" s="288">
        <f t="shared" ref="AS17:AS26" si="33">(AS6/AN6-1)*100</f>
        <v>0.7303557880740108</v>
      </c>
      <c r="AT17" s="288"/>
      <c r="AU17" s="288">
        <f>(AU6/AP6-1)*100</f>
        <v>1.3590478870610934</v>
      </c>
      <c r="AV17" s="288">
        <f t="shared" ref="AV17:AV26" si="34">(AV6/AQ6-1)*100</f>
        <v>1.9788334654182949</v>
      </c>
      <c r="AW17" s="288">
        <f t="shared" ref="AW17:AW26" si="35">(AW6/AR6-1)*100</f>
        <v>2.915106205502993</v>
      </c>
      <c r="AX17" s="288">
        <f>(AX6/AS6-1)*100</f>
        <v>3.0122266797813602</v>
      </c>
      <c r="AY17" s="288"/>
      <c r="AZ17" s="288">
        <f>(AZ6/AU6-1)*100</f>
        <v>2.9601399528399019</v>
      </c>
      <c r="BA17" s="288">
        <f t="shared" ref="BA17:BA26" si="36">(BA6/AV6-1)*100</f>
        <v>3.2294006700058997</v>
      </c>
      <c r="BB17" s="288">
        <f t="shared" ref="BB17:BB26" si="37">(BB6/AW6-1)*100</f>
        <v>3.908484270734025</v>
      </c>
      <c r="BC17" s="288">
        <f>(BC6/AX6-1)*100</f>
        <v>3.0505243088655654</v>
      </c>
      <c r="BD17" s="288"/>
      <c r="BE17" s="288">
        <f t="shared" ref="BE17:BE26" si="38">(BE6/AZ6-1)*100</f>
        <v>4.1899441340782051</v>
      </c>
      <c r="BF17" s="288">
        <f t="shared" ref="BF17:BF26" si="39">(BF6/BA6-1)*100</f>
        <v>4.4362292051755903</v>
      </c>
      <c r="BG17" s="288">
        <f t="shared" ref="BG17:BG26" si="40">(BG6/BB6-1)*100</f>
        <v>4.1284403669724856</v>
      </c>
      <c r="BH17" s="288">
        <f t="shared" ref="BH17:BM26" si="41">(BH6/BC6-1)*100</f>
        <v>6.2904717853839109</v>
      </c>
      <c r="BI17" s="288"/>
      <c r="BJ17" s="288">
        <f t="shared" si="41"/>
        <v>4.7363717605004352</v>
      </c>
      <c r="BK17" s="288">
        <f t="shared" si="41"/>
        <v>6.0176991150442394</v>
      </c>
      <c r="BL17" s="288">
        <f t="shared" si="41"/>
        <v>7.0484581497797461</v>
      </c>
      <c r="BM17" s="288">
        <f t="shared" si="41"/>
        <v>7.1366405570060909</v>
      </c>
      <c r="BN17" s="288"/>
      <c r="BO17" s="288">
        <f>(BO6/BJ6-1)*100</f>
        <v>6.6552901023890776</v>
      </c>
      <c r="BP17" s="369">
        <f>(BP6/BK6-1)*100</f>
        <v>6.5943238731218656</v>
      </c>
    </row>
    <row r="18" spans="1:107" x14ac:dyDescent="0.2">
      <c r="A18" s="178" t="s">
        <v>95</v>
      </c>
      <c r="B18" s="263"/>
      <c r="C18" s="263">
        <f>T18</f>
        <v>11.275133236980173</v>
      </c>
      <c r="D18" s="263">
        <f>Y18</f>
        <v>-1.5354302599002168E-2</v>
      </c>
      <c r="E18" s="263">
        <f>AD18</f>
        <v>11.204942398657858</v>
      </c>
      <c r="F18" s="263">
        <f>AI18</f>
        <v>-1.9552265004986413</v>
      </c>
      <c r="G18" s="263">
        <f>AN18</f>
        <v>2.1660422336809093</v>
      </c>
      <c r="H18" s="263">
        <f>AS18</f>
        <v>-0.12003870692075536</v>
      </c>
      <c r="I18" s="263">
        <f t="shared" ref="I18:I26" si="42">AX18</f>
        <v>9.2020157104404134</v>
      </c>
      <c r="J18" s="263">
        <f t="shared" ref="J18:J26" si="43">BC18</f>
        <v>4.5698924731182977</v>
      </c>
      <c r="K18" s="263">
        <f t="shared" ref="K18:K26" si="44">BH18</f>
        <v>-1.2853470437018011</v>
      </c>
      <c r="L18" s="263">
        <f t="shared" ref="L18:L26" si="45">BM18</f>
        <v>9.375</v>
      </c>
      <c r="M18" s="185"/>
      <c r="N18" s="185"/>
      <c r="O18" s="185"/>
      <c r="P18" s="185"/>
      <c r="Q18" s="185"/>
      <c r="R18" s="269">
        <f t="shared" si="11"/>
        <v>18.10188295838142</v>
      </c>
      <c r="S18" s="268">
        <f t="shared" si="12"/>
        <v>11.660774179112554</v>
      </c>
      <c r="T18" s="268">
        <f t="shared" si="13"/>
        <v>11.275133236980173</v>
      </c>
      <c r="U18" s="185"/>
      <c r="V18" s="263">
        <f t="shared" si="14"/>
        <v>21.068641088868524</v>
      </c>
      <c r="W18" s="263">
        <f t="shared" si="15"/>
        <v>13.143760657710168</v>
      </c>
      <c r="X18" s="263">
        <f t="shared" si="16"/>
        <v>12.537132622915648</v>
      </c>
      <c r="Y18" s="263">
        <f t="shared" si="17"/>
        <v>-1.5354302599002168E-2</v>
      </c>
      <c r="Z18" s="263"/>
      <c r="AA18" s="263">
        <f t="shared" si="18"/>
        <v>-3.8554701780838863</v>
      </c>
      <c r="AB18" s="263">
        <f t="shared" si="19"/>
        <v>-8.9667256895431091</v>
      </c>
      <c r="AC18" s="263">
        <f t="shared" si="20"/>
        <v>0.89526591956095025</v>
      </c>
      <c r="AD18" s="263">
        <f t="shared" si="21"/>
        <v>11.204942398657858</v>
      </c>
      <c r="AE18" s="263"/>
      <c r="AF18" s="263">
        <f t="shared" si="22"/>
        <v>0.3173287689750115</v>
      </c>
      <c r="AG18" s="263">
        <f t="shared" si="23"/>
        <v>18.21608770410943</v>
      </c>
      <c r="AH18" s="263">
        <f t="shared" si="24"/>
        <v>4.3424214038633391</v>
      </c>
      <c r="AI18" s="263">
        <f t="shared" si="25"/>
        <v>-1.9552265004986413</v>
      </c>
      <c r="AJ18" s="263"/>
      <c r="AK18" s="263">
        <f t="shared" si="26"/>
        <v>6.0558829803288416</v>
      </c>
      <c r="AL18" s="263">
        <f t="shared" si="27"/>
        <v>-1.4654673323286849</v>
      </c>
      <c r="AM18" s="263">
        <f t="shared" si="28"/>
        <v>-6.4780221892889456</v>
      </c>
      <c r="AN18" s="288">
        <f t="shared" si="29"/>
        <v>2.1660422336809093</v>
      </c>
      <c r="AO18" s="288"/>
      <c r="AP18" s="288">
        <f t="shared" si="30"/>
        <v>4.7294721483661428</v>
      </c>
      <c r="AQ18" s="288">
        <f t="shared" si="31"/>
        <v>2.6214315610087136</v>
      </c>
      <c r="AR18" s="288">
        <f t="shared" si="32"/>
        <v>5.400971950053024</v>
      </c>
      <c r="AS18" s="288">
        <f t="shared" si="33"/>
        <v>-0.12003870692075536</v>
      </c>
      <c r="AT18" s="288"/>
      <c r="AU18" s="288">
        <f t="shared" ref="AU18:AU26" si="46">(AU7/AP7-1)*100</f>
        <v>0.44469151005694929</v>
      </c>
      <c r="AV18" s="288">
        <f t="shared" si="34"/>
        <v>2.2346941819361366</v>
      </c>
      <c r="AW18" s="288">
        <f t="shared" si="35"/>
        <v>5.8333972543964663</v>
      </c>
      <c r="AX18" s="288">
        <f t="shared" ref="AX18:AX26" si="47">(AX7/AS7-1)*100</f>
        <v>9.2020157104404134</v>
      </c>
      <c r="AY18" s="288"/>
      <c r="AZ18" s="288">
        <f t="shared" ref="AZ18:AZ26" si="48">(AZ7/AU7-1)*100</f>
        <v>8.2223691574302435</v>
      </c>
      <c r="BA18" s="288">
        <f t="shared" si="36"/>
        <v>7.5700800741385299</v>
      </c>
      <c r="BB18" s="288">
        <f t="shared" si="37"/>
        <v>6.6543438077633965</v>
      </c>
      <c r="BC18" s="288">
        <f t="shared" ref="BC18:BC26" si="49">(BC7/AX7-1)*100</f>
        <v>4.5698924731182977</v>
      </c>
      <c r="BD18" s="288"/>
      <c r="BE18" s="288">
        <f t="shared" si="38"/>
        <v>6.788511749347248</v>
      </c>
      <c r="BF18" s="288">
        <f>(BF7/BA7-1)*100</f>
        <v>5.4640069384215062</v>
      </c>
      <c r="BG18" s="288">
        <f t="shared" si="40"/>
        <v>2.512998266897748</v>
      </c>
      <c r="BH18" s="288">
        <f t="shared" si="41"/>
        <v>-1.2853470437018011</v>
      </c>
      <c r="BI18" s="288"/>
      <c r="BJ18" s="288">
        <f t="shared" si="41"/>
        <v>-3.9119804400977953</v>
      </c>
      <c r="BK18" s="288">
        <f t="shared" si="41"/>
        <v>0.16447368421053099</v>
      </c>
      <c r="BL18" s="288">
        <f t="shared" si="41"/>
        <v>6.4243448858833485</v>
      </c>
      <c r="BM18" s="288">
        <f t="shared" si="41"/>
        <v>9.375</v>
      </c>
      <c r="BN18" s="288"/>
      <c r="BO18" s="288">
        <f t="shared" ref="BO18:BP26" si="50">(BO7/BJ7-1)*100</f>
        <v>7.2943172179813276</v>
      </c>
      <c r="BP18" s="369">
        <f t="shared" si="50"/>
        <v>5.0082101806239843</v>
      </c>
    </row>
    <row r="19" spans="1:107" x14ac:dyDescent="0.2">
      <c r="A19" s="178" t="s">
        <v>96</v>
      </c>
      <c r="B19" s="263"/>
      <c r="C19" s="263">
        <f>T19</f>
        <v>3.5534562790390023</v>
      </c>
      <c r="D19" s="263">
        <f>Y19</f>
        <v>3.7228312403071895</v>
      </c>
      <c r="E19" s="263">
        <f>AD19</f>
        <v>1.6092133374834061</v>
      </c>
      <c r="F19" s="263">
        <f>AI19</f>
        <v>-4.5412796818474437</v>
      </c>
      <c r="G19" s="263">
        <f>AN19</f>
        <v>5.6205774725122337</v>
      </c>
      <c r="H19" s="263">
        <f>AS19</f>
        <v>1.4654792561983987</v>
      </c>
      <c r="I19" s="263">
        <f t="shared" si="42"/>
        <v>-2.093481958193022</v>
      </c>
      <c r="J19" s="263">
        <f t="shared" si="43"/>
        <v>1.4084507042253502</v>
      </c>
      <c r="K19" s="263">
        <f t="shared" si="44"/>
        <v>13.690476190476186</v>
      </c>
      <c r="L19" s="263">
        <f t="shared" si="45"/>
        <v>5.2356020942408321</v>
      </c>
      <c r="M19" s="185"/>
      <c r="N19" s="185"/>
      <c r="O19" s="185"/>
      <c r="P19" s="185"/>
      <c r="Q19" s="185"/>
      <c r="R19" s="269">
        <f t="shared" si="11"/>
        <v>5.7992591766250712</v>
      </c>
      <c r="S19" s="268">
        <f t="shared" si="12"/>
        <v>3.4921021168655253</v>
      </c>
      <c r="T19" s="268">
        <f t="shared" si="13"/>
        <v>3.5534562790390023</v>
      </c>
      <c r="U19" s="185"/>
      <c r="V19" s="263">
        <f t="shared" si="14"/>
        <v>1.89758317059463</v>
      </c>
      <c r="W19" s="263">
        <f t="shared" si="15"/>
        <v>3.7261947529161121</v>
      </c>
      <c r="X19" s="263">
        <f t="shared" si="16"/>
        <v>2.9394325201689275</v>
      </c>
      <c r="Y19" s="263">
        <f t="shared" si="17"/>
        <v>3.7228312403071895</v>
      </c>
      <c r="Z19" s="263"/>
      <c r="AA19" s="263">
        <f t="shared" si="18"/>
        <v>5.8154763738519133</v>
      </c>
      <c r="AB19" s="263">
        <f t="shared" si="19"/>
        <v>4.0914964297743772</v>
      </c>
      <c r="AC19" s="263">
        <f t="shared" si="20"/>
        <v>3.2238197022488757</v>
      </c>
      <c r="AD19" s="263">
        <f t="shared" si="21"/>
        <v>1.6092133374834061</v>
      </c>
      <c r="AE19" s="263"/>
      <c r="AF19" s="263">
        <f t="shared" si="22"/>
        <v>-0.48848677479280678</v>
      </c>
      <c r="AG19" s="263">
        <f t="shared" si="23"/>
        <v>-2.4950822266640471</v>
      </c>
      <c r="AH19" s="263">
        <f t="shared" si="24"/>
        <v>-5.6296104884401066</v>
      </c>
      <c r="AI19" s="263">
        <f t="shared" si="25"/>
        <v>-4.5412796818474437</v>
      </c>
      <c r="AJ19" s="263"/>
      <c r="AK19" s="263">
        <f t="shared" si="26"/>
        <v>-2.3761908461411685</v>
      </c>
      <c r="AL19" s="263">
        <f t="shared" si="27"/>
        <v>1.6149686170354283</v>
      </c>
      <c r="AM19" s="263">
        <f t="shared" si="28"/>
        <v>6.3739273656439055</v>
      </c>
      <c r="AN19" s="288">
        <f t="shared" si="29"/>
        <v>5.6205774725122337</v>
      </c>
      <c r="AO19" s="288"/>
      <c r="AP19" s="288">
        <f t="shared" si="30"/>
        <v>4.8422595876686403</v>
      </c>
      <c r="AQ19" s="288">
        <f t="shared" si="31"/>
        <v>4.130193335607979</v>
      </c>
      <c r="AR19" s="288">
        <f t="shared" si="32"/>
        <v>2.5754809136558032</v>
      </c>
      <c r="AS19" s="288">
        <f t="shared" si="33"/>
        <v>1.4654792561983987</v>
      </c>
      <c r="AT19" s="288"/>
      <c r="AU19" s="288">
        <f t="shared" si="46"/>
        <v>2.1715355502947009</v>
      </c>
      <c r="AV19" s="288">
        <f t="shared" si="34"/>
        <v>1.7543944701044145</v>
      </c>
      <c r="AW19" s="288">
        <f t="shared" si="35"/>
        <v>0.32582929268947236</v>
      </c>
      <c r="AX19" s="288">
        <f t="shared" si="47"/>
        <v>-2.093481958193022</v>
      </c>
      <c r="AY19" s="288"/>
      <c r="AZ19" s="288">
        <f t="shared" si="48"/>
        <v>-1.6950045444317885</v>
      </c>
      <c r="BA19" s="288">
        <f t="shared" si="36"/>
        <v>-0.69145518665999495</v>
      </c>
      <c r="BB19" s="288">
        <f t="shared" si="37"/>
        <v>1.4705882352941124</v>
      </c>
      <c r="BC19" s="288">
        <f t="shared" si="49"/>
        <v>1.4084507042253502</v>
      </c>
      <c r="BD19" s="288"/>
      <c r="BE19" s="288">
        <f t="shared" si="38"/>
        <v>1.6831683168316847</v>
      </c>
      <c r="BF19" s="288">
        <f t="shared" si="39"/>
        <v>3.8197845249755114</v>
      </c>
      <c r="BG19" s="288">
        <f t="shared" si="40"/>
        <v>5.7971014492753659</v>
      </c>
      <c r="BH19" s="288">
        <f t="shared" si="41"/>
        <v>13.690476190476186</v>
      </c>
      <c r="BI19" s="288"/>
      <c r="BJ19" s="288">
        <f t="shared" si="41"/>
        <v>13.534566699123651</v>
      </c>
      <c r="BK19" s="288">
        <f t="shared" si="41"/>
        <v>11.509433962264159</v>
      </c>
      <c r="BL19" s="288">
        <f t="shared" si="41"/>
        <v>7.488584474885851</v>
      </c>
      <c r="BM19" s="288">
        <f t="shared" si="41"/>
        <v>5.2356020942408321</v>
      </c>
      <c r="BN19" s="288"/>
      <c r="BO19" s="288">
        <f t="shared" si="50"/>
        <v>6.0891938250428934</v>
      </c>
      <c r="BP19" s="369">
        <f t="shared" si="50"/>
        <v>7.9526226734348393</v>
      </c>
    </row>
    <row r="20" spans="1:107" x14ac:dyDescent="0.2">
      <c r="A20" s="471" t="s">
        <v>126</v>
      </c>
      <c r="B20" s="263"/>
      <c r="C20" s="263">
        <f>T20</f>
        <v>8.5487603959158101</v>
      </c>
      <c r="D20" s="263">
        <f>Y20</f>
        <v>3.8243441549679069E-2</v>
      </c>
      <c r="E20" s="263">
        <f>AD20</f>
        <v>4.1847913100951706</v>
      </c>
      <c r="F20" s="263">
        <f>AI20</f>
        <v>-5.2136871484325109</v>
      </c>
      <c r="G20" s="263">
        <f>AN20</f>
        <v>7.6017638836711532</v>
      </c>
      <c r="H20" s="263">
        <f>AS20</f>
        <v>4.067246341245867</v>
      </c>
      <c r="I20" s="263">
        <f t="shared" si="42"/>
        <v>4.2341966346861604</v>
      </c>
      <c r="J20" s="263">
        <f t="shared" si="43"/>
        <v>6.131650135256983</v>
      </c>
      <c r="K20" s="263">
        <f t="shared" si="44"/>
        <v>2.1240441801189558</v>
      </c>
      <c r="L20" s="263">
        <f t="shared" si="45"/>
        <v>3.3277870216306127</v>
      </c>
      <c r="M20" s="185"/>
      <c r="N20" s="185"/>
      <c r="O20" s="185"/>
      <c r="P20" s="185"/>
      <c r="Q20" s="185"/>
      <c r="R20" s="269">
        <f t="shared" si="11"/>
        <v>5.0667625171765263</v>
      </c>
      <c r="S20" s="268">
        <f t="shared" si="12"/>
        <v>5.4845878609889542</v>
      </c>
      <c r="T20" s="268">
        <f t="shared" si="13"/>
        <v>8.5487603959158101</v>
      </c>
      <c r="U20" s="185"/>
      <c r="V20" s="263">
        <f t="shared" si="14"/>
        <v>16.368915478766155</v>
      </c>
      <c r="W20" s="263">
        <f t="shared" si="15"/>
        <v>13.4590516639713</v>
      </c>
      <c r="X20" s="263">
        <f t="shared" si="16"/>
        <v>13.178984869295185</v>
      </c>
      <c r="Y20" s="263">
        <f t="shared" si="17"/>
        <v>3.8243441549679069E-2</v>
      </c>
      <c r="Z20" s="263"/>
      <c r="AA20" s="263">
        <f t="shared" si="18"/>
        <v>-3.3499250326657015</v>
      </c>
      <c r="AB20" s="263">
        <f t="shared" si="19"/>
        <v>-9.3763983284607892</v>
      </c>
      <c r="AC20" s="263">
        <f t="shared" si="20"/>
        <v>-4.3931491166929177</v>
      </c>
      <c r="AD20" s="263">
        <f t="shared" si="21"/>
        <v>4.1847913100951706</v>
      </c>
      <c r="AE20" s="263"/>
      <c r="AF20" s="263">
        <f t="shared" si="22"/>
        <v>-6.6527565747783406</v>
      </c>
      <c r="AG20" s="263">
        <f t="shared" si="23"/>
        <v>10.686265184394394</v>
      </c>
      <c r="AH20" s="263">
        <f t="shared" si="24"/>
        <v>-0.82443474064290978</v>
      </c>
      <c r="AI20" s="263">
        <f t="shared" si="25"/>
        <v>-5.2136871484325109</v>
      </c>
      <c r="AJ20" s="263"/>
      <c r="AK20" s="263">
        <f t="shared" si="26"/>
        <v>6.1465293870831328</v>
      </c>
      <c r="AL20" s="263">
        <f t="shared" si="27"/>
        <v>0.13731085107002716</v>
      </c>
      <c r="AM20" s="263">
        <f t="shared" si="28"/>
        <v>-1.5011537086038529</v>
      </c>
      <c r="AN20" s="288">
        <f t="shared" si="29"/>
        <v>7.6017638836711532</v>
      </c>
      <c r="AO20" s="288"/>
      <c r="AP20" s="288">
        <f t="shared" si="30"/>
        <v>9.6178325747881885</v>
      </c>
      <c r="AQ20" s="288">
        <f t="shared" si="31"/>
        <v>5.8144919949444374</v>
      </c>
      <c r="AR20" s="288">
        <f t="shared" si="32"/>
        <v>11.340994378306736</v>
      </c>
      <c r="AS20" s="288">
        <f t="shared" si="33"/>
        <v>4.067246341245867</v>
      </c>
      <c r="AT20" s="288"/>
      <c r="AU20" s="288">
        <f t="shared" si="46"/>
        <v>1.8834023504021857</v>
      </c>
      <c r="AV20" s="288">
        <f t="shared" si="34"/>
        <v>3.4223899556105941</v>
      </c>
      <c r="AW20" s="288">
        <f t="shared" si="35"/>
        <v>2.9741658624979905</v>
      </c>
      <c r="AX20" s="288">
        <f t="shared" si="47"/>
        <v>4.2341966346861604</v>
      </c>
      <c r="AY20" s="288"/>
      <c r="AZ20" s="288">
        <f t="shared" si="48"/>
        <v>6.2593845269815374</v>
      </c>
      <c r="BA20" s="288">
        <f t="shared" si="36"/>
        <v>4.7618779233906672</v>
      </c>
      <c r="BB20" s="288">
        <f t="shared" si="37"/>
        <v>9.1074681238615618</v>
      </c>
      <c r="BC20" s="288">
        <f t="shared" si="49"/>
        <v>6.131650135256983</v>
      </c>
      <c r="BD20" s="288"/>
      <c r="BE20" s="288">
        <f t="shared" si="38"/>
        <v>6.4236111111110938</v>
      </c>
      <c r="BF20" s="288">
        <f t="shared" si="39"/>
        <v>7.8671328671328755</v>
      </c>
      <c r="BG20" s="288">
        <f t="shared" si="40"/>
        <v>1.4190317195325486</v>
      </c>
      <c r="BH20" s="288">
        <f t="shared" si="41"/>
        <v>2.1240441801189558</v>
      </c>
      <c r="BI20" s="288"/>
      <c r="BJ20" s="288">
        <f t="shared" si="41"/>
        <v>-1.8760195758564469</v>
      </c>
      <c r="BK20" s="288">
        <f t="shared" si="41"/>
        <v>-0.40518638573744381</v>
      </c>
      <c r="BL20" s="288">
        <f t="shared" si="41"/>
        <v>1.4814814814814836</v>
      </c>
      <c r="BM20" s="288">
        <f t="shared" si="41"/>
        <v>3.3277870216306127</v>
      </c>
      <c r="BN20" s="288"/>
      <c r="BO20" s="288">
        <f t="shared" si="50"/>
        <v>6.8994181213632544</v>
      </c>
      <c r="BP20" s="369">
        <f t="shared" si="50"/>
        <v>8.3807973962571012</v>
      </c>
    </row>
    <row r="21" spans="1:107" x14ac:dyDescent="0.2">
      <c r="A21" s="471" t="s">
        <v>127</v>
      </c>
      <c r="B21" s="263"/>
      <c r="C21" s="263">
        <f t="shared" ref="C21:C26" si="51">T21</f>
        <v>7.9072210026948087</v>
      </c>
      <c r="D21" s="263">
        <f t="shared" ref="D21:D26" si="52">Y21</f>
        <v>12.648410201213679</v>
      </c>
      <c r="E21" s="263">
        <f t="shared" ref="E21:E26" si="53">AD21</f>
        <v>9.604066022409441</v>
      </c>
      <c r="F21" s="263">
        <f t="shared" ref="F21:F26" si="54">AI21</f>
        <v>-5.8381704764663418</v>
      </c>
      <c r="G21" s="263">
        <f t="shared" ref="G21:G26" si="55">AN21</f>
        <v>0.56568217971222357</v>
      </c>
      <c r="H21" s="263">
        <f t="shared" ref="H21:H26" si="56">AS21</f>
        <v>1.1061627249042694E-2</v>
      </c>
      <c r="I21" s="263">
        <f t="shared" si="42"/>
        <v>0.56223418578869033</v>
      </c>
      <c r="J21" s="263">
        <f t="shared" si="43"/>
        <v>3.6561264822134509</v>
      </c>
      <c r="K21" s="263">
        <f t="shared" si="44"/>
        <v>8.6749285033365098</v>
      </c>
      <c r="L21" s="263">
        <f t="shared" si="45"/>
        <v>1.5789473684210575</v>
      </c>
      <c r="M21" s="185"/>
      <c r="N21" s="185"/>
      <c r="O21" s="185"/>
      <c r="P21" s="185"/>
      <c r="Q21" s="185"/>
      <c r="R21" s="269">
        <f t="shared" si="11"/>
        <v>32.932002053026245</v>
      </c>
      <c r="S21" s="268">
        <f t="shared" si="12"/>
        <v>16.563357479044804</v>
      </c>
      <c r="T21" s="268">
        <f t="shared" si="13"/>
        <v>7.9072210026948087</v>
      </c>
      <c r="U21" s="185"/>
      <c r="V21" s="263">
        <f t="shared" si="14"/>
        <v>15.642585350405479</v>
      </c>
      <c r="W21" s="263">
        <f t="shared" si="15"/>
        <v>12.462441284889824</v>
      </c>
      <c r="X21" s="263">
        <f t="shared" si="16"/>
        <v>11.662873524998973</v>
      </c>
      <c r="Y21" s="263">
        <f t="shared" si="17"/>
        <v>12.648410201213679</v>
      </c>
      <c r="Z21" s="263"/>
      <c r="AA21" s="263">
        <f t="shared" si="18"/>
        <v>0.14179624634176324</v>
      </c>
      <c r="AB21" s="263">
        <f t="shared" si="19"/>
        <v>1.8870923914841908</v>
      </c>
      <c r="AC21" s="263">
        <f t="shared" si="20"/>
        <v>7.59540637471674</v>
      </c>
      <c r="AD21" s="263">
        <f t="shared" si="21"/>
        <v>9.604066022409441</v>
      </c>
      <c r="AE21" s="263"/>
      <c r="AF21" s="263">
        <f t="shared" si="22"/>
        <v>7.2870891665223647</v>
      </c>
      <c r="AG21" s="263">
        <f t="shared" si="23"/>
        <v>4.928305481032802</v>
      </c>
      <c r="AH21" s="263">
        <f t="shared" si="24"/>
        <v>-3.7763807619463519</v>
      </c>
      <c r="AI21" s="263">
        <f t="shared" si="25"/>
        <v>-5.8381704764663418</v>
      </c>
      <c r="AJ21" s="263"/>
      <c r="AK21" s="263">
        <f t="shared" si="26"/>
        <v>-3.579991580334041</v>
      </c>
      <c r="AL21" s="263">
        <f t="shared" si="27"/>
        <v>-2.01816676334442</v>
      </c>
      <c r="AM21" s="263">
        <f t="shared" si="28"/>
        <v>-3.1594342953944476E-2</v>
      </c>
      <c r="AN21" s="288">
        <f t="shared" si="29"/>
        <v>0.56568217971222357</v>
      </c>
      <c r="AO21" s="288"/>
      <c r="AP21" s="288">
        <f t="shared" si="30"/>
        <v>3.546634338029131</v>
      </c>
      <c r="AQ21" s="288">
        <f t="shared" si="31"/>
        <v>5.279196217583304</v>
      </c>
      <c r="AR21" s="288">
        <f t="shared" si="32"/>
        <v>0.22127807600020866</v>
      </c>
      <c r="AS21" s="288">
        <f t="shared" si="33"/>
        <v>1.1061627249042694E-2</v>
      </c>
      <c r="AT21" s="288"/>
      <c r="AU21" s="288">
        <f t="shared" si="46"/>
        <v>1.5164697378254433</v>
      </c>
      <c r="AV21" s="288">
        <f t="shared" si="34"/>
        <v>-0.81182295887853861</v>
      </c>
      <c r="AW21" s="288">
        <f t="shared" si="35"/>
        <v>1.6478874773184993</v>
      </c>
      <c r="AX21" s="288">
        <f t="shared" si="47"/>
        <v>0.56223418578869033</v>
      </c>
      <c r="AY21" s="288"/>
      <c r="AZ21" s="288">
        <f t="shared" si="48"/>
        <v>3.0020572808258095</v>
      </c>
      <c r="BA21" s="288">
        <f t="shared" si="36"/>
        <v>1.5296181370293427</v>
      </c>
      <c r="BB21" s="288">
        <f t="shared" si="37"/>
        <v>-2.6574803149606141</v>
      </c>
      <c r="BC21" s="288">
        <f t="shared" si="49"/>
        <v>3.6561264822134509</v>
      </c>
      <c r="BD21" s="288"/>
      <c r="BE21" s="288">
        <f t="shared" si="38"/>
        <v>1.037735849056598</v>
      </c>
      <c r="BF21" s="288">
        <f t="shared" si="39"/>
        <v>5.9386973180076463</v>
      </c>
      <c r="BG21" s="288">
        <f t="shared" si="40"/>
        <v>13.852376137512623</v>
      </c>
      <c r="BH21" s="288">
        <f t="shared" si="41"/>
        <v>8.6749285033365098</v>
      </c>
      <c r="BI21" s="288"/>
      <c r="BJ21" s="288">
        <f t="shared" si="41"/>
        <v>7.1895424836601274</v>
      </c>
      <c r="BK21" s="288">
        <f t="shared" si="41"/>
        <v>4.8824593128390603</v>
      </c>
      <c r="BL21" s="288">
        <f t="shared" si="41"/>
        <v>2.4866785079929121</v>
      </c>
      <c r="BM21" s="288">
        <f t="shared" si="41"/>
        <v>1.5789473684210575</v>
      </c>
      <c r="BN21" s="288"/>
      <c r="BO21" s="288">
        <f t="shared" si="50"/>
        <v>1.7421602787456525</v>
      </c>
      <c r="BP21" s="369">
        <f t="shared" si="50"/>
        <v>3.1034482758620641</v>
      </c>
    </row>
    <row r="22" spans="1:107" x14ac:dyDescent="0.2">
      <c r="A22" s="471" t="s">
        <v>128</v>
      </c>
      <c r="B22" s="263"/>
      <c r="C22" s="263">
        <f t="shared" si="51"/>
        <v>8.6255229262285802</v>
      </c>
      <c r="D22" s="263">
        <f t="shared" si="52"/>
        <v>2.2972541049623985</v>
      </c>
      <c r="E22" s="263">
        <f t="shared" si="53"/>
        <v>12.8692671847894</v>
      </c>
      <c r="F22" s="263">
        <f t="shared" si="54"/>
        <v>4.9307395664181186</v>
      </c>
      <c r="G22" s="263">
        <f t="shared" si="55"/>
        <v>-0.94463420819329569</v>
      </c>
      <c r="H22" s="263">
        <f t="shared" si="56"/>
        <v>-1.8408358071636433</v>
      </c>
      <c r="I22" s="263">
        <f t="shared" si="42"/>
        <v>-0.67206937784457521</v>
      </c>
      <c r="J22" s="263">
        <f t="shared" si="43"/>
        <v>5.3333333333333455</v>
      </c>
      <c r="K22" s="263">
        <f t="shared" si="44"/>
        <v>5.8422590068159641</v>
      </c>
      <c r="L22" s="263">
        <f t="shared" si="45"/>
        <v>5.9797608095676136</v>
      </c>
      <c r="M22" s="185"/>
      <c r="N22" s="185"/>
      <c r="O22" s="185"/>
      <c r="P22" s="185"/>
      <c r="Q22" s="185"/>
      <c r="R22" s="269">
        <f t="shared" si="11"/>
        <v>12.38877100549125</v>
      </c>
      <c r="S22" s="268">
        <f t="shared" si="12"/>
        <v>14.900208357319222</v>
      </c>
      <c r="T22" s="268">
        <f t="shared" si="13"/>
        <v>8.6255229262285802</v>
      </c>
      <c r="U22" s="185"/>
      <c r="V22" s="263">
        <f t="shared" si="14"/>
        <v>9.0767441842242835</v>
      </c>
      <c r="W22" s="263">
        <f t="shared" si="15"/>
        <v>-2.0885561003965214</v>
      </c>
      <c r="X22" s="263">
        <f t="shared" si="16"/>
        <v>0.5244950293126438</v>
      </c>
      <c r="Y22" s="263">
        <f t="shared" si="17"/>
        <v>2.2972541049623985</v>
      </c>
      <c r="Z22" s="263"/>
      <c r="AA22" s="263">
        <f t="shared" si="18"/>
        <v>4.6001046305084392</v>
      </c>
      <c r="AB22" s="263">
        <f t="shared" si="19"/>
        <v>7.3470983522087474</v>
      </c>
      <c r="AC22" s="263">
        <f t="shared" si="20"/>
        <v>13.372805516142705</v>
      </c>
      <c r="AD22" s="263">
        <f t="shared" si="21"/>
        <v>12.8692671847894</v>
      </c>
      <c r="AE22" s="263"/>
      <c r="AF22" s="263">
        <f t="shared" si="22"/>
        <v>14.949983931317878</v>
      </c>
      <c r="AG22" s="263">
        <f t="shared" si="23"/>
        <v>16.364789683053658</v>
      </c>
      <c r="AH22" s="263">
        <f t="shared" si="24"/>
        <v>6.5749977600097376</v>
      </c>
      <c r="AI22" s="263">
        <f t="shared" si="25"/>
        <v>4.9307395664181186</v>
      </c>
      <c r="AJ22" s="263"/>
      <c r="AK22" s="263">
        <f t="shared" si="26"/>
        <v>0.73303108663071992</v>
      </c>
      <c r="AL22" s="263">
        <f t="shared" si="27"/>
        <v>0.25360943290790861</v>
      </c>
      <c r="AM22" s="263">
        <f t="shared" si="28"/>
        <v>2.8243675985040184E-2</v>
      </c>
      <c r="AN22" s="288">
        <f t="shared" si="29"/>
        <v>-0.94463420819329569</v>
      </c>
      <c r="AO22" s="288"/>
      <c r="AP22" s="288">
        <f t="shared" si="30"/>
        <v>0.3635766555512232</v>
      </c>
      <c r="AQ22" s="288">
        <f t="shared" si="31"/>
        <v>-0.20535354504308545</v>
      </c>
      <c r="AR22" s="288">
        <f t="shared" si="32"/>
        <v>-2.2935568499724224</v>
      </c>
      <c r="AS22" s="288">
        <f t="shared" si="33"/>
        <v>-1.8408358071636433</v>
      </c>
      <c r="AT22" s="288"/>
      <c r="AU22" s="288">
        <f t="shared" si="46"/>
        <v>0.81950668119883385</v>
      </c>
      <c r="AV22" s="288">
        <f t="shared" si="34"/>
        <v>0.58046366466617538</v>
      </c>
      <c r="AW22" s="288">
        <f t="shared" si="35"/>
        <v>1.731995713469292</v>
      </c>
      <c r="AX22" s="288">
        <f t="shared" si="47"/>
        <v>-0.67206937784457521</v>
      </c>
      <c r="AY22" s="288"/>
      <c r="AZ22" s="288">
        <f t="shared" si="48"/>
        <v>3.370521286660999</v>
      </c>
      <c r="BA22" s="288">
        <f t="shared" si="36"/>
        <v>0.57874781017162036</v>
      </c>
      <c r="BB22" s="288">
        <f t="shared" si="37"/>
        <v>2.0958083832335328</v>
      </c>
      <c r="BC22" s="288">
        <f t="shared" si="49"/>
        <v>5.3333333333333455</v>
      </c>
      <c r="BD22" s="288"/>
      <c r="BE22" s="288">
        <f t="shared" si="38"/>
        <v>-0.48030739673391443</v>
      </c>
      <c r="BF22" s="288">
        <f t="shared" si="39"/>
        <v>4.7244094488189115</v>
      </c>
      <c r="BG22" s="288">
        <f t="shared" si="40"/>
        <v>4.2033235581622641</v>
      </c>
      <c r="BH22" s="288">
        <f t="shared" si="41"/>
        <v>5.8422590068159641</v>
      </c>
      <c r="BI22" s="288"/>
      <c r="BJ22" s="288">
        <f t="shared" si="41"/>
        <v>7.8185328185328196</v>
      </c>
      <c r="BK22" s="288">
        <f t="shared" si="41"/>
        <v>4.8872180451127623</v>
      </c>
      <c r="BL22" s="288">
        <f t="shared" si="41"/>
        <v>6.9418386491557182</v>
      </c>
      <c r="BM22" s="288">
        <f t="shared" si="41"/>
        <v>5.9797608095676136</v>
      </c>
      <c r="BN22" s="288"/>
      <c r="BO22" s="288">
        <f t="shared" si="50"/>
        <v>2.7752909579229934</v>
      </c>
      <c r="BP22" s="369">
        <f t="shared" si="50"/>
        <v>4.4802867383512579</v>
      </c>
    </row>
    <row r="23" spans="1:107" x14ac:dyDescent="0.2">
      <c r="A23" s="471" t="s">
        <v>129</v>
      </c>
      <c r="B23" s="263"/>
      <c r="C23" s="263">
        <f t="shared" si="51"/>
        <v>1.0637232748694991</v>
      </c>
      <c r="D23" s="263">
        <f t="shared" si="52"/>
        <v>-3.7193454003953796</v>
      </c>
      <c r="E23" s="263">
        <f t="shared" si="53"/>
        <v>3.0571691100330201</v>
      </c>
      <c r="F23" s="263">
        <f t="shared" si="54"/>
        <v>-9.0492735789920893</v>
      </c>
      <c r="G23" s="263">
        <f t="shared" si="55"/>
        <v>5.1072546981560052</v>
      </c>
      <c r="H23" s="263">
        <f t="shared" si="56"/>
        <v>-1.3667637122560472</v>
      </c>
      <c r="I23" s="263">
        <f t="shared" si="42"/>
        <v>-0.65247753291104438</v>
      </c>
      <c r="J23" s="263">
        <f t="shared" si="43"/>
        <v>0.61412487205732003</v>
      </c>
      <c r="K23" s="263">
        <f t="shared" si="44"/>
        <v>9.7660223804679536</v>
      </c>
      <c r="L23" s="263">
        <f t="shared" si="45"/>
        <v>0.6487488415199083</v>
      </c>
      <c r="M23" s="185"/>
      <c r="N23" s="185"/>
      <c r="O23" s="185"/>
      <c r="P23" s="185"/>
      <c r="Q23" s="185"/>
      <c r="R23" s="269">
        <f t="shared" si="11"/>
        <v>-3.392110996989961</v>
      </c>
      <c r="S23" s="268">
        <f t="shared" si="12"/>
        <v>3.3436604603461095</v>
      </c>
      <c r="T23" s="268">
        <f t="shared" si="13"/>
        <v>1.0637232748694991</v>
      </c>
      <c r="U23" s="185"/>
      <c r="V23" s="263">
        <f t="shared" si="14"/>
        <v>2.5181755288393726</v>
      </c>
      <c r="W23" s="263">
        <f t="shared" si="15"/>
        <v>-0.62642122590690352</v>
      </c>
      <c r="X23" s="263">
        <f t="shared" si="16"/>
        <v>-4.5481454972837394</v>
      </c>
      <c r="Y23" s="263">
        <f t="shared" si="17"/>
        <v>-3.7193454003953796</v>
      </c>
      <c r="Z23" s="263"/>
      <c r="AA23" s="263">
        <f t="shared" si="18"/>
        <v>1.0187310828528195</v>
      </c>
      <c r="AB23" s="263">
        <f t="shared" si="19"/>
        <v>3.5882929364872806</v>
      </c>
      <c r="AC23" s="263">
        <f t="shared" si="20"/>
        <v>4.23220938343154</v>
      </c>
      <c r="AD23" s="263">
        <f t="shared" si="21"/>
        <v>3.0571691100330201</v>
      </c>
      <c r="AE23" s="263"/>
      <c r="AF23" s="263">
        <f t="shared" si="22"/>
        <v>-1.5224459512125477</v>
      </c>
      <c r="AG23" s="263">
        <f t="shared" si="23"/>
        <v>-6.9872565343944153</v>
      </c>
      <c r="AH23" s="263">
        <f t="shared" si="24"/>
        <v>-6.700113158983811</v>
      </c>
      <c r="AI23" s="263">
        <f t="shared" si="25"/>
        <v>-9.0492735789920893</v>
      </c>
      <c r="AJ23" s="263"/>
      <c r="AK23" s="263">
        <f t="shared" si="26"/>
        <v>-4.9318263311791233</v>
      </c>
      <c r="AL23" s="263">
        <f t="shared" si="27"/>
        <v>-0.34211855439103545</v>
      </c>
      <c r="AM23" s="263">
        <f t="shared" si="28"/>
        <v>1.4952179453748604</v>
      </c>
      <c r="AN23" s="288">
        <f t="shared" si="29"/>
        <v>5.1072546981560052</v>
      </c>
      <c r="AO23" s="288"/>
      <c r="AP23" s="288">
        <f t="shared" si="30"/>
        <v>4.1940525829447628</v>
      </c>
      <c r="AQ23" s="288">
        <f t="shared" si="31"/>
        <v>5.6356715328137019</v>
      </c>
      <c r="AR23" s="288">
        <f t="shared" si="32"/>
        <v>0.19916082826425541</v>
      </c>
      <c r="AS23" s="288">
        <f t="shared" si="33"/>
        <v>-1.3667637122560472</v>
      </c>
      <c r="AT23" s="288"/>
      <c r="AU23" s="288">
        <f t="shared" si="46"/>
        <v>1.2279762984923615E-2</v>
      </c>
      <c r="AV23" s="288">
        <f t="shared" si="34"/>
        <v>-1.2918212747167757</v>
      </c>
      <c r="AW23" s="288">
        <f t="shared" si="35"/>
        <v>4.5096785211159229</v>
      </c>
      <c r="AX23" s="288">
        <f t="shared" si="47"/>
        <v>-0.65247753291104438</v>
      </c>
      <c r="AY23" s="288"/>
      <c r="AZ23" s="288">
        <f t="shared" si="48"/>
        <v>-4.6981314438543027</v>
      </c>
      <c r="BA23" s="288">
        <f t="shared" si="36"/>
        <v>4.0206100781333909</v>
      </c>
      <c r="BB23" s="288">
        <f t="shared" si="37"/>
        <v>-2.3622047244094446</v>
      </c>
      <c r="BC23" s="288">
        <f t="shared" si="49"/>
        <v>0.61412487205732003</v>
      </c>
      <c r="BD23" s="288"/>
      <c r="BE23" s="288">
        <f t="shared" si="38"/>
        <v>3.2291666666666607</v>
      </c>
      <c r="BF23" s="288">
        <f t="shared" si="39"/>
        <v>-0.28598665395616063</v>
      </c>
      <c r="BG23" s="288">
        <f t="shared" si="40"/>
        <v>6.754032258064524</v>
      </c>
      <c r="BH23" s="288">
        <f t="shared" si="41"/>
        <v>9.7660223804679536</v>
      </c>
      <c r="BI23" s="288"/>
      <c r="BJ23" s="288">
        <f t="shared" si="41"/>
        <v>8.7790110998990922</v>
      </c>
      <c r="BK23" s="288">
        <f t="shared" si="41"/>
        <v>3.7284894837476212</v>
      </c>
      <c r="BL23" s="288">
        <f t="shared" si="41"/>
        <v>2.3607176581680767</v>
      </c>
      <c r="BM23" s="288">
        <f t="shared" si="41"/>
        <v>0.6487488415199083</v>
      </c>
      <c r="BN23" s="288"/>
      <c r="BO23" s="288">
        <f t="shared" si="50"/>
        <v>1.1131725417439675</v>
      </c>
      <c r="BP23" s="369">
        <f t="shared" si="50"/>
        <v>1.6589861751151957</v>
      </c>
    </row>
    <row r="24" spans="1:107" x14ac:dyDescent="0.2">
      <c r="A24" s="471" t="s">
        <v>130</v>
      </c>
      <c r="B24" s="263"/>
      <c r="C24" s="263">
        <f t="shared" si="51"/>
        <v>1.0823082366617331</v>
      </c>
      <c r="D24" s="263">
        <f t="shared" si="52"/>
        <v>4.0097864399798455</v>
      </c>
      <c r="E24" s="263">
        <f t="shared" si="53"/>
        <v>0.21324641206919015</v>
      </c>
      <c r="F24" s="263">
        <f t="shared" si="54"/>
        <v>-0.5120810533198461</v>
      </c>
      <c r="G24" s="263">
        <f t="shared" si="55"/>
        <v>1.7006269497690019</v>
      </c>
      <c r="H24" s="263">
        <f t="shared" si="56"/>
        <v>-6.3699508027755147</v>
      </c>
      <c r="I24" s="263">
        <f t="shared" si="42"/>
        <v>4.8492470240823593</v>
      </c>
      <c r="J24" s="263">
        <f t="shared" si="43"/>
        <v>-7.8708375378405577</v>
      </c>
      <c r="K24" s="263">
        <f t="shared" si="44"/>
        <v>8.4337349397590309</v>
      </c>
      <c r="L24" s="263">
        <f t="shared" si="45"/>
        <v>22.626262626262637</v>
      </c>
      <c r="M24" s="185"/>
      <c r="N24" s="185"/>
      <c r="O24" s="185"/>
      <c r="P24" s="185"/>
      <c r="Q24" s="185"/>
      <c r="R24" s="269">
        <f t="shared" si="11"/>
        <v>8.974604023226739</v>
      </c>
      <c r="S24" s="268">
        <f t="shared" si="12"/>
        <v>6.2990514922426355</v>
      </c>
      <c r="T24" s="268">
        <f t="shared" si="13"/>
        <v>1.0823082366617331</v>
      </c>
      <c r="U24" s="185"/>
      <c r="V24" s="263">
        <f t="shared" si="14"/>
        <v>7.5935563797850936</v>
      </c>
      <c r="W24" s="263">
        <f t="shared" si="15"/>
        <v>2.3157384298650552</v>
      </c>
      <c r="X24" s="263">
        <f t="shared" si="16"/>
        <v>3.166321429563812</v>
      </c>
      <c r="Y24" s="263">
        <f t="shared" si="17"/>
        <v>4.0097864399798455</v>
      </c>
      <c r="Z24" s="263"/>
      <c r="AA24" s="263">
        <f t="shared" si="18"/>
        <v>6.6206287712414991</v>
      </c>
      <c r="AB24" s="263">
        <f t="shared" si="19"/>
        <v>4.1713236244736107</v>
      </c>
      <c r="AC24" s="263">
        <f t="shared" si="20"/>
        <v>2.8967548282294642</v>
      </c>
      <c r="AD24" s="263">
        <f t="shared" si="21"/>
        <v>0.21324641206919015</v>
      </c>
      <c r="AE24" s="263"/>
      <c r="AF24" s="263">
        <f t="shared" si="22"/>
        <v>-2.3894920493367722</v>
      </c>
      <c r="AG24" s="263">
        <f t="shared" si="23"/>
        <v>-2.4872883895187381</v>
      </c>
      <c r="AH24" s="263">
        <f t="shared" si="24"/>
        <v>-1.7683842442405839</v>
      </c>
      <c r="AI24" s="263">
        <f t="shared" si="25"/>
        <v>-0.5120810533198461</v>
      </c>
      <c r="AJ24" s="263"/>
      <c r="AK24" s="263">
        <f t="shared" si="26"/>
        <v>-1.6832590866526109</v>
      </c>
      <c r="AL24" s="263">
        <f t="shared" si="27"/>
        <v>0.73947683327701963</v>
      </c>
      <c r="AM24" s="263">
        <f t="shared" si="28"/>
        <v>1.158662193537574</v>
      </c>
      <c r="AN24" s="288">
        <f t="shared" si="29"/>
        <v>1.7006269497690019</v>
      </c>
      <c r="AO24" s="288"/>
      <c r="AP24" s="288">
        <f t="shared" si="30"/>
        <v>1.5828883962075047</v>
      </c>
      <c r="AQ24" s="288">
        <f t="shared" si="31"/>
        <v>-0.24208049390959108</v>
      </c>
      <c r="AR24" s="288">
        <f t="shared" si="32"/>
        <v>-5.967601231930864</v>
      </c>
      <c r="AS24" s="288">
        <f t="shared" si="33"/>
        <v>-6.3699508027755147</v>
      </c>
      <c r="AT24" s="288"/>
      <c r="AU24" s="288">
        <f t="shared" si="46"/>
        <v>-3.0401068794042696</v>
      </c>
      <c r="AV24" s="288">
        <f t="shared" si="34"/>
        <v>-1.2983762527593701</v>
      </c>
      <c r="AW24" s="288">
        <f t="shared" si="35"/>
        <v>2.231775046973028</v>
      </c>
      <c r="AX24" s="288">
        <f t="shared" si="47"/>
        <v>4.8492470240823593</v>
      </c>
      <c r="AY24" s="288"/>
      <c r="AZ24" s="288">
        <f t="shared" si="48"/>
        <v>-1.1616568169869002</v>
      </c>
      <c r="BA24" s="288">
        <f t="shared" si="36"/>
        <v>-3.6511190985090924</v>
      </c>
      <c r="BB24" s="288">
        <f t="shared" si="37"/>
        <v>-5.175983436853004</v>
      </c>
      <c r="BC24" s="288">
        <f t="shared" si="49"/>
        <v>-7.8708375378405577</v>
      </c>
      <c r="BD24" s="288"/>
      <c r="BE24" s="288">
        <f t="shared" si="38"/>
        <v>-1.9832985386221247</v>
      </c>
      <c r="BF24" s="288">
        <f t="shared" si="39"/>
        <v>-1.1677282377919429</v>
      </c>
      <c r="BG24" s="288">
        <f t="shared" si="40"/>
        <v>4.4759825327510994</v>
      </c>
      <c r="BH24" s="288">
        <f t="shared" si="41"/>
        <v>8.4337349397590309</v>
      </c>
      <c r="BI24" s="288"/>
      <c r="BJ24" s="288">
        <f t="shared" si="41"/>
        <v>7.5612353567624968</v>
      </c>
      <c r="BK24" s="288">
        <f t="shared" si="41"/>
        <v>16.86358754027928</v>
      </c>
      <c r="BL24" s="288">
        <f t="shared" si="41"/>
        <v>20.898641588296751</v>
      </c>
      <c r="BM24" s="288">
        <f t="shared" si="41"/>
        <v>22.626262626262637</v>
      </c>
      <c r="BN24" s="288"/>
      <c r="BO24" s="288">
        <f t="shared" si="50"/>
        <v>19.504950495049499</v>
      </c>
      <c r="BP24" s="369">
        <f t="shared" si="50"/>
        <v>12.775735294117663</v>
      </c>
    </row>
    <row r="25" spans="1:107" x14ac:dyDescent="0.2">
      <c r="A25" s="471" t="s">
        <v>131</v>
      </c>
      <c r="B25" s="263"/>
      <c r="C25" s="263">
        <f t="shared" si="51"/>
        <v>4.4534553836632407</v>
      </c>
      <c r="D25" s="263">
        <f t="shared" si="52"/>
        <v>7.3771095839132883</v>
      </c>
      <c r="E25" s="263">
        <f t="shared" si="53"/>
        <v>1.0793791822500731</v>
      </c>
      <c r="F25" s="263">
        <f t="shared" si="54"/>
        <v>4.5906105918403606</v>
      </c>
      <c r="G25" s="263">
        <f t="shared" si="55"/>
        <v>3.4655847695008068</v>
      </c>
      <c r="H25" s="263">
        <f t="shared" si="56"/>
        <v>1.9038179142676359</v>
      </c>
      <c r="I25" s="263">
        <f t="shared" si="42"/>
        <v>2.4222510000498687</v>
      </c>
      <c r="J25" s="263">
        <f t="shared" si="43"/>
        <v>1.241642788920716</v>
      </c>
      <c r="K25" s="263">
        <f t="shared" si="44"/>
        <v>21.41509433962263</v>
      </c>
      <c r="L25" s="263">
        <f t="shared" si="45"/>
        <v>18.570318570318566</v>
      </c>
      <c r="M25" s="185"/>
      <c r="N25" s="185"/>
      <c r="O25" s="185"/>
      <c r="P25" s="185"/>
      <c r="Q25" s="185"/>
      <c r="R25" s="269">
        <f t="shared" si="11"/>
        <v>25.915603971356525</v>
      </c>
      <c r="S25" s="268">
        <f t="shared" si="12"/>
        <v>3.667453942953558</v>
      </c>
      <c r="T25" s="268">
        <f t="shared" si="13"/>
        <v>4.4534553836632407</v>
      </c>
      <c r="U25" s="185"/>
      <c r="V25" s="263">
        <f t="shared" si="14"/>
        <v>2.1267037245026765</v>
      </c>
      <c r="W25" s="263">
        <f t="shared" si="15"/>
        <v>7.4063034853897758</v>
      </c>
      <c r="X25" s="263">
        <f t="shared" si="16"/>
        <v>5.7875542748524911</v>
      </c>
      <c r="Y25" s="263">
        <f t="shared" si="17"/>
        <v>7.3771095839132883</v>
      </c>
      <c r="Z25" s="263"/>
      <c r="AA25" s="263">
        <f t="shared" si="18"/>
        <v>6.447131938815942</v>
      </c>
      <c r="AB25" s="263">
        <f t="shared" si="19"/>
        <v>1.8365982190857943</v>
      </c>
      <c r="AC25" s="263">
        <f t="shared" si="20"/>
        <v>2.4844720500279971</v>
      </c>
      <c r="AD25" s="263">
        <f t="shared" si="21"/>
        <v>1.0793791822500731</v>
      </c>
      <c r="AE25" s="263"/>
      <c r="AF25" s="263">
        <f t="shared" si="22"/>
        <v>2.8264036478915511</v>
      </c>
      <c r="AG25" s="263">
        <f t="shared" si="23"/>
        <v>4.2646775026874639</v>
      </c>
      <c r="AH25" s="263">
        <f t="shared" si="24"/>
        <v>6.18554468201018</v>
      </c>
      <c r="AI25" s="263">
        <f t="shared" si="25"/>
        <v>4.5906105918403606</v>
      </c>
      <c r="AJ25" s="263"/>
      <c r="AK25" s="263">
        <f t="shared" si="26"/>
        <v>1.5013973027730776</v>
      </c>
      <c r="AL25" s="263">
        <f t="shared" si="27"/>
        <v>1.8329777696854732</v>
      </c>
      <c r="AM25" s="263">
        <f t="shared" si="28"/>
        <v>1.3376156186049482</v>
      </c>
      <c r="AN25" s="288">
        <f t="shared" si="29"/>
        <v>3.4655847695008068</v>
      </c>
      <c r="AO25" s="288"/>
      <c r="AP25" s="288">
        <f t="shared" si="30"/>
        <v>3.9201064927635754</v>
      </c>
      <c r="AQ25" s="288">
        <f t="shared" si="31"/>
        <v>3.3683380005027796</v>
      </c>
      <c r="AR25" s="288">
        <f t="shared" si="32"/>
        <v>2.7061764382545705</v>
      </c>
      <c r="AS25" s="288">
        <f t="shared" si="33"/>
        <v>1.9038179142676359</v>
      </c>
      <c r="AT25" s="288"/>
      <c r="AU25" s="288">
        <f t="shared" si="46"/>
        <v>3.182149564978709</v>
      </c>
      <c r="AV25" s="288">
        <f t="shared" si="34"/>
        <v>3.1755857078681782</v>
      </c>
      <c r="AW25" s="288">
        <f t="shared" si="35"/>
        <v>2.7373395743356621</v>
      </c>
      <c r="AX25" s="288">
        <f t="shared" si="47"/>
        <v>2.4222510000498687</v>
      </c>
      <c r="AY25" s="288"/>
      <c r="AZ25" s="288">
        <f t="shared" si="48"/>
        <v>-1.6063920787229402</v>
      </c>
      <c r="BA25" s="288">
        <f t="shared" si="36"/>
        <v>16.124119072362664</v>
      </c>
      <c r="BB25" s="288">
        <f t="shared" si="37"/>
        <v>6.1728395061728447</v>
      </c>
      <c r="BC25" s="288">
        <f t="shared" si="49"/>
        <v>1.241642788920716</v>
      </c>
      <c r="BD25" s="288"/>
      <c r="BE25" s="288">
        <f t="shared" si="38"/>
        <v>3.2352941176470473</v>
      </c>
      <c r="BF25" s="288">
        <f t="shared" si="39"/>
        <v>-11.914543960558754</v>
      </c>
      <c r="BG25" s="288">
        <f t="shared" si="40"/>
        <v>-1.9677996422182487</v>
      </c>
      <c r="BH25" s="288">
        <f t="shared" si="41"/>
        <v>21.41509433962263</v>
      </c>
      <c r="BI25" s="288"/>
      <c r="BJ25" s="288">
        <f t="shared" si="41"/>
        <v>41.785375118708458</v>
      </c>
      <c r="BK25" s="288">
        <f t="shared" si="41"/>
        <v>39.645522388059696</v>
      </c>
      <c r="BL25" s="288">
        <f t="shared" si="41"/>
        <v>36.678832116788328</v>
      </c>
      <c r="BM25" s="288">
        <f t="shared" si="41"/>
        <v>18.570318570318566</v>
      </c>
      <c r="BN25" s="288"/>
      <c r="BO25" s="288">
        <f t="shared" si="50"/>
        <v>3.2150033489618091</v>
      </c>
      <c r="BP25" s="369">
        <f t="shared" si="50"/>
        <v>2.1376085504342113</v>
      </c>
    </row>
    <row r="26" spans="1:107" s="177" customFormat="1" x14ac:dyDescent="0.2">
      <c r="A26" s="471" t="s">
        <v>132</v>
      </c>
      <c r="B26" s="263"/>
      <c r="C26" s="263">
        <f t="shared" si="51"/>
        <v>8.276273979273018</v>
      </c>
      <c r="D26" s="263">
        <f t="shared" si="52"/>
        <v>-2.4128529647184926</v>
      </c>
      <c r="E26" s="263">
        <f t="shared" si="53"/>
        <v>12.217181637607123</v>
      </c>
      <c r="F26" s="263">
        <f t="shared" si="54"/>
        <v>-4.8262688788357266</v>
      </c>
      <c r="G26" s="263">
        <f t="shared" si="55"/>
        <v>-2.1661855323797496</v>
      </c>
      <c r="H26" s="263">
        <f t="shared" si="56"/>
        <v>1.4066065313027565</v>
      </c>
      <c r="I26" s="263">
        <f t="shared" si="42"/>
        <v>5.6157852866902225</v>
      </c>
      <c r="J26" s="263">
        <f t="shared" si="43"/>
        <v>0.75117370892019419</v>
      </c>
      <c r="K26" s="263">
        <f t="shared" si="44"/>
        <v>12.395153774464118</v>
      </c>
      <c r="L26" s="263">
        <f t="shared" si="45"/>
        <v>5.0580431177446261</v>
      </c>
      <c r="M26" s="455"/>
      <c r="N26" s="455"/>
      <c r="O26" s="455"/>
      <c r="P26" s="455"/>
      <c r="Q26" s="456"/>
      <c r="R26" s="457">
        <f t="shared" si="11"/>
        <v>23.830331756417799</v>
      </c>
      <c r="S26" s="458">
        <f t="shared" si="12"/>
        <v>4.6412871066048522</v>
      </c>
      <c r="T26" s="458">
        <f t="shared" si="13"/>
        <v>8.276273979273018</v>
      </c>
      <c r="U26" s="456"/>
      <c r="V26" s="371">
        <f t="shared" si="14"/>
        <v>1.6123660848713195</v>
      </c>
      <c r="W26" s="371">
        <f t="shared" si="15"/>
        <v>5.0090310020125761</v>
      </c>
      <c r="X26" s="371">
        <f t="shared" si="16"/>
        <v>0.55972156145585039</v>
      </c>
      <c r="Y26" s="371">
        <f t="shared" si="17"/>
        <v>-2.4128529647184926</v>
      </c>
      <c r="Z26" s="371"/>
      <c r="AA26" s="371">
        <f t="shared" si="18"/>
        <v>8.2913154707335615</v>
      </c>
      <c r="AB26" s="371">
        <f t="shared" si="19"/>
        <v>1.2202700064272376</v>
      </c>
      <c r="AC26" s="371">
        <f t="shared" si="20"/>
        <v>9.521960181087529</v>
      </c>
      <c r="AD26" s="371">
        <f t="shared" si="21"/>
        <v>12.217181637607123</v>
      </c>
      <c r="AE26" s="371"/>
      <c r="AF26" s="371">
        <f t="shared" si="22"/>
        <v>2.128614614101898</v>
      </c>
      <c r="AG26" s="371">
        <f t="shared" si="23"/>
        <v>2.5108405623801566</v>
      </c>
      <c r="AH26" s="371">
        <f t="shared" si="24"/>
        <v>-4.449074012498655</v>
      </c>
      <c r="AI26" s="371">
        <f t="shared" si="25"/>
        <v>-4.8262688788357266</v>
      </c>
      <c r="AJ26" s="371"/>
      <c r="AK26" s="371">
        <f t="shared" si="26"/>
        <v>-1.5215321087778344</v>
      </c>
      <c r="AL26" s="371">
        <f t="shared" si="27"/>
        <v>-0.38529226084741408</v>
      </c>
      <c r="AM26" s="371">
        <f t="shared" si="28"/>
        <v>-1.1021248694390362</v>
      </c>
      <c r="AN26" s="371">
        <f t="shared" si="29"/>
        <v>-2.1661855323797496</v>
      </c>
      <c r="AO26" s="371"/>
      <c r="AP26" s="371">
        <f t="shared" si="30"/>
        <v>-4.9997719802150176</v>
      </c>
      <c r="AQ26" s="371">
        <f t="shared" si="31"/>
        <v>-1.2366745683533575</v>
      </c>
      <c r="AR26" s="371">
        <f t="shared" si="32"/>
        <v>0.84003847803255649</v>
      </c>
      <c r="AS26" s="371">
        <f t="shared" si="33"/>
        <v>1.4066065313027565</v>
      </c>
      <c r="AT26" s="371"/>
      <c r="AU26" s="371">
        <f t="shared" si="46"/>
        <v>5.5198551256463446</v>
      </c>
      <c r="AV26" s="371">
        <f t="shared" si="34"/>
        <v>4.6842120002284826</v>
      </c>
      <c r="AW26" s="371">
        <f t="shared" si="35"/>
        <v>4.9634561506563646</v>
      </c>
      <c r="AX26" s="371">
        <f t="shared" si="47"/>
        <v>5.6157852866902225</v>
      </c>
      <c r="AY26" s="371"/>
      <c r="AZ26" s="371">
        <f t="shared" si="48"/>
        <v>-0.7121020571191794</v>
      </c>
      <c r="BA26" s="371">
        <f t="shared" si="36"/>
        <v>3.7938437880526976</v>
      </c>
      <c r="BB26" s="371">
        <f t="shared" si="37"/>
        <v>1.413760603204528</v>
      </c>
      <c r="BC26" s="371">
        <f t="shared" si="49"/>
        <v>0.75117370892019419</v>
      </c>
      <c r="BD26" s="371"/>
      <c r="BE26" s="371">
        <f t="shared" si="38"/>
        <v>10.76190476190475</v>
      </c>
      <c r="BF26" s="371">
        <f t="shared" si="39"/>
        <v>6.2328139321723208</v>
      </c>
      <c r="BG26" s="371">
        <f t="shared" si="40"/>
        <v>10.68773234200744</v>
      </c>
      <c r="BH26" s="371">
        <f t="shared" si="41"/>
        <v>12.395153774464118</v>
      </c>
      <c r="BI26" s="371"/>
      <c r="BJ26" s="371">
        <f t="shared" si="41"/>
        <v>6.9647463456577796</v>
      </c>
      <c r="BK26" s="371">
        <f t="shared" si="41"/>
        <v>8.5418464193270047</v>
      </c>
      <c r="BL26" s="371">
        <f t="shared" si="41"/>
        <v>6.1293031066330883</v>
      </c>
      <c r="BM26" s="371">
        <f t="shared" si="41"/>
        <v>5.0580431177446261</v>
      </c>
      <c r="BN26" s="371"/>
      <c r="BO26" s="288">
        <f t="shared" si="50"/>
        <v>1.7684887459807008</v>
      </c>
      <c r="BP26" s="369">
        <f t="shared" si="50"/>
        <v>0.79491255961843255</v>
      </c>
    </row>
    <row r="27" spans="1:107" s="177" customFormat="1" ht="13.2" x14ac:dyDescent="0.2">
      <c r="A27" s="465"/>
      <c r="AU27" s="846" t="s">
        <v>124</v>
      </c>
      <c r="AV27" s="846"/>
      <c r="AW27" s="846"/>
      <c r="AX27" s="846"/>
      <c r="AY27" s="846"/>
      <c r="AZ27" s="846"/>
      <c r="BA27" s="846"/>
      <c r="BB27" s="846"/>
      <c r="BC27" s="846"/>
      <c r="BD27" s="846"/>
      <c r="BE27" s="846"/>
      <c r="BF27" s="846"/>
      <c r="BG27" s="846"/>
      <c r="BH27" s="846"/>
      <c r="BI27" s="473"/>
      <c r="BJ27" s="473"/>
      <c r="BK27" s="473"/>
      <c r="BL27" s="473"/>
      <c r="BM27" s="492"/>
      <c r="BN27" s="466"/>
      <c r="BO27" s="466"/>
      <c r="BP27" s="467"/>
      <c r="BQ27" s="466"/>
      <c r="BR27" s="466"/>
      <c r="BS27" s="466"/>
      <c r="BT27" s="466"/>
      <c r="BU27" s="466"/>
      <c r="BV27" s="466"/>
      <c r="BW27" s="466"/>
      <c r="BX27" s="466"/>
      <c r="BY27" s="466"/>
      <c r="BZ27" s="466"/>
      <c r="CA27" s="466"/>
      <c r="CB27" s="466"/>
      <c r="CC27" s="466"/>
      <c r="CD27" s="466"/>
      <c r="CE27" s="466"/>
      <c r="CF27" s="466"/>
      <c r="CG27" s="466"/>
      <c r="CH27" s="466"/>
      <c r="CI27" s="466"/>
      <c r="CJ27" s="466"/>
      <c r="CK27" s="466"/>
      <c r="CL27" s="466"/>
      <c r="CM27" s="466"/>
      <c r="CN27" s="466"/>
      <c r="CO27" s="466"/>
      <c r="CP27" s="466"/>
      <c r="CQ27" s="466"/>
      <c r="CR27" s="466"/>
      <c r="CS27" s="466"/>
      <c r="CT27" s="466"/>
      <c r="CU27" s="466"/>
      <c r="CV27" s="466"/>
      <c r="CW27" s="466"/>
      <c r="CX27" s="466"/>
      <c r="CY27" s="466"/>
      <c r="CZ27" s="466"/>
      <c r="DA27" s="466"/>
      <c r="DB27" s="466"/>
      <c r="DC27" s="467"/>
    </row>
    <row r="28" spans="1:107" s="177" customFormat="1" x14ac:dyDescent="0.2">
      <c r="A28" s="178" t="s">
        <v>94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185"/>
      <c r="N28" s="185">
        <f>(N6/M6-1)*100</f>
        <v>6.6146384890283239</v>
      </c>
      <c r="O28" s="185">
        <f t="shared" ref="N28:O37" si="57">(O6/N6-1)*100</f>
        <v>3.2117819549382087</v>
      </c>
      <c r="P28" s="455"/>
      <c r="Q28" s="185">
        <f>(Q6/O6-1)*100</f>
        <v>-0.27514308529237308</v>
      </c>
      <c r="R28" s="185">
        <f t="shared" ref="R28:T37" si="58">(R6/Q6-1)*100</f>
        <v>1.690192075300545</v>
      </c>
      <c r="S28" s="185">
        <f t="shared" si="58"/>
        <v>2.6241134851118897</v>
      </c>
      <c r="T28" s="185">
        <f t="shared" si="58"/>
        <v>3.1367791537420198</v>
      </c>
      <c r="U28" s="456"/>
      <c r="V28" s="185">
        <f>(V6/T6-1)*100</f>
        <v>3.3087304740632595</v>
      </c>
      <c r="W28" s="185">
        <f t="shared" ref="W28:Y37" si="59">(W6/V6-1)*100</f>
        <v>-0.84775104472347707</v>
      </c>
      <c r="X28" s="185">
        <f t="shared" si="59"/>
        <v>1.972315423296056</v>
      </c>
      <c r="Y28" s="185">
        <f t="shared" si="59"/>
        <v>-2.5167232907272852</v>
      </c>
      <c r="Z28" s="371"/>
      <c r="AA28" s="185">
        <f>(AA6/Y6-1)*100</f>
        <v>2.1777252206171438</v>
      </c>
      <c r="AB28" s="185">
        <f t="shared" ref="AB28:AD37" si="60">(AB6/AA6-1)*100</f>
        <v>-4.2027785294036839</v>
      </c>
      <c r="AC28" s="185">
        <f t="shared" si="60"/>
        <v>6.9060975733036711</v>
      </c>
      <c r="AD28" s="185">
        <f t="shared" si="60"/>
        <v>1.6732199278663762</v>
      </c>
      <c r="AE28" s="371"/>
      <c r="AF28" s="185">
        <f>(AF6/AD6-1)*100</f>
        <v>-4.0421981057279455</v>
      </c>
      <c r="AG28" s="185">
        <f t="shared" ref="AG28:AI37" si="61">(AG6/AF6-1)*100</f>
        <v>3.1433870005621367</v>
      </c>
      <c r="AH28" s="185">
        <f t="shared" si="61"/>
        <v>-1.1103994652062021</v>
      </c>
      <c r="AI28" s="185">
        <f t="shared" si="61"/>
        <v>-1.0917152395442109</v>
      </c>
      <c r="AJ28" s="371"/>
      <c r="AK28" s="185">
        <f>(AK6/AI6-1)*100</f>
        <v>0.99737015873511137</v>
      </c>
      <c r="AL28" s="185">
        <f t="shared" ref="AL28:AN37" si="62">(AL6/AK6-1)*100</f>
        <v>1.1973545166242827</v>
      </c>
      <c r="AM28" s="185">
        <f t="shared" si="62"/>
        <v>-1.6481233391472672</v>
      </c>
      <c r="AN28" s="185">
        <f t="shared" si="62"/>
        <v>3.1289448413090559</v>
      </c>
      <c r="AO28" s="371"/>
      <c r="AP28" s="185">
        <f t="shared" ref="AP28:AP37" si="63">(AP6/AN6-1)*100</f>
        <v>1.799651053916862</v>
      </c>
      <c r="AQ28" s="185">
        <f t="shared" ref="AQ28:AS37" si="64">(AQ6/AP6-1)*100</f>
        <v>-0.12859024031499633</v>
      </c>
      <c r="AR28" s="185">
        <f t="shared" si="64"/>
        <v>-0.82949002681115269</v>
      </c>
      <c r="AS28" s="185">
        <f t="shared" si="64"/>
        <v>-9.4280530970625165E-2</v>
      </c>
      <c r="AT28" s="371"/>
      <c r="AU28" s="264">
        <f>(AU6/AS6-1)*100</f>
        <v>2.435016985035876</v>
      </c>
      <c r="AV28" s="264">
        <f t="shared" ref="AV28:AX37" si="65">(AV6/AU6-1)*100</f>
        <v>0.4820987978084279</v>
      </c>
      <c r="AW28" s="264">
        <f t="shared" si="65"/>
        <v>8.0999355671163009E-2</v>
      </c>
      <c r="AX28" s="264">
        <f t="shared" si="65"/>
        <v>0</v>
      </c>
      <c r="AY28" s="371"/>
      <c r="AZ28" s="264">
        <f>(AZ6/AX6-1)*100</f>
        <v>2.3832221163012424</v>
      </c>
      <c r="BA28" s="264">
        <f t="shared" ref="BA28:BC37" si="66">(BA6/AZ6-1)*100</f>
        <v>0.74487895716945918</v>
      </c>
      <c r="BB28" s="264">
        <f t="shared" si="66"/>
        <v>0.73937153419592061</v>
      </c>
      <c r="BC28" s="264">
        <f t="shared" si="66"/>
        <v>-0.82568807339450379</v>
      </c>
      <c r="BD28" s="371"/>
      <c r="BE28" s="264">
        <f>(BE6/BC6-1)*100</f>
        <v>3.5152636447733698</v>
      </c>
      <c r="BF28" s="264">
        <f t="shared" ref="BF28:BH37" si="67">(BF6/BE6-1)*100</f>
        <v>0.98302055406611633</v>
      </c>
      <c r="BG28" s="264">
        <f t="shared" si="67"/>
        <v>0.44247787610618428</v>
      </c>
      <c r="BH28" s="474">
        <f>(BH6/BG6-1)*100</f>
        <v>1.2334801762114544</v>
      </c>
      <c r="BI28" s="474"/>
      <c r="BJ28" s="474">
        <f>(BJ6/BH6-1)*100</f>
        <v>2.0017406440382857</v>
      </c>
      <c r="BK28" s="474">
        <f t="shared" ref="BK28:BM37" si="68">(BK6/BJ6-1)*100</f>
        <v>2.2184300341296925</v>
      </c>
      <c r="BL28" s="474">
        <f t="shared" si="68"/>
        <v>1.4190317195325486</v>
      </c>
      <c r="BM28" s="474">
        <f>(BM6/BL6-1)*100</f>
        <v>1.3168724279835287</v>
      </c>
      <c r="BN28" s="474"/>
      <c r="BO28" s="474">
        <f>(BO6/BM6-1)*100</f>
        <v>1.5434606011372809</v>
      </c>
      <c r="BP28" s="493">
        <f t="shared" ref="BP28:BP37" si="69">(BP6/BO6-1)*100</f>
        <v>2.1600000000000064</v>
      </c>
    </row>
    <row r="29" spans="1:107" s="177" customFormat="1" x14ac:dyDescent="0.2">
      <c r="A29" s="178" t="s">
        <v>95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185"/>
      <c r="N29" s="185">
        <f t="shared" si="57"/>
        <v>8.7349701175000618</v>
      </c>
      <c r="O29" s="185">
        <f t="shared" si="57"/>
        <v>5.3053868014607763</v>
      </c>
      <c r="P29" s="455"/>
      <c r="Q29" s="185">
        <f t="shared" ref="Q29:Q37" si="70">(Q7/O7-1)*100</f>
        <v>-1.2876516150040707</v>
      </c>
      <c r="R29" s="185">
        <f t="shared" si="58"/>
        <v>4.4877820893208797</v>
      </c>
      <c r="S29" s="185">
        <f t="shared" si="58"/>
        <v>2.8047194466942704</v>
      </c>
      <c r="T29" s="185">
        <f t="shared" si="58"/>
        <v>4.9416953540722286</v>
      </c>
      <c r="U29" s="456"/>
      <c r="V29" s="185">
        <f t="shared" ref="V29:V37" si="71">(V7/T7-1)*100</f>
        <v>7.4001848392372338</v>
      </c>
      <c r="W29" s="185">
        <f t="shared" si="59"/>
        <v>-2.3517526748215278</v>
      </c>
      <c r="X29" s="185">
        <f t="shared" si="59"/>
        <v>2.2535248906442984</v>
      </c>
      <c r="Y29" s="185">
        <f t="shared" si="59"/>
        <v>-6.7635900763573398</v>
      </c>
      <c r="Z29" s="371"/>
      <c r="AA29" s="185">
        <f t="shared" ref="AA29:AA37" si="72">(AA7/Y7-1)*100</f>
        <v>3.2752599374741731</v>
      </c>
      <c r="AB29" s="185">
        <f t="shared" si="60"/>
        <v>-7.5429491292596467</v>
      </c>
      <c r="AC29" s="185">
        <f t="shared" si="60"/>
        <v>13.331050247293064</v>
      </c>
      <c r="AD29" s="185">
        <f t="shared" si="60"/>
        <v>2.76348945135374</v>
      </c>
      <c r="AE29" s="371"/>
      <c r="AF29" s="185">
        <f t="shared" ref="AF29:AF37" si="73">(AF7/AD7-1)*100</f>
        <v>-6.835991446239964</v>
      </c>
      <c r="AG29" s="185">
        <f t="shared" si="61"/>
        <v>8.9533679646683684</v>
      </c>
      <c r="AH29" s="185">
        <f t="shared" si="61"/>
        <v>3.0684763004495963E-2</v>
      </c>
      <c r="AI29" s="185">
        <f t="shared" si="61"/>
        <v>-3.4388610910334294</v>
      </c>
      <c r="AJ29" s="371"/>
      <c r="AK29" s="185">
        <f t="shared" ref="AK29:AK37" si="74">(AK7/AI7-1)*100</f>
        <v>0.77631715071666552</v>
      </c>
      <c r="AL29" s="185">
        <f t="shared" si="62"/>
        <v>1.2265316480243982</v>
      </c>
      <c r="AM29" s="185">
        <f t="shared" si="62"/>
        <v>-5.0579809177367814</v>
      </c>
      <c r="AN29" s="185">
        <f t="shared" si="62"/>
        <v>5.4861074032583224</v>
      </c>
      <c r="AO29" s="371"/>
      <c r="AP29" s="185">
        <f t="shared" si="63"/>
        <v>3.304877721606525</v>
      </c>
      <c r="AQ29" s="185">
        <f t="shared" si="64"/>
        <v>-0.81100022198402621</v>
      </c>
      <c r="AR29" s="185">
        <f t="shared" si="64"/>
        <v>-2.486440327799877</v>
      </c>
      <c r="AS29" s="185">
        <f t="shared" si="64"/>
        <v>-3.9362735784143066E-2</v>
      </c>
      <c r="AT29" s="371"/>
      <c r="AU29" s="264">
        <f t="shared" ref="AU29:AU37" si="75">(AU7/AS7-1)*100</f>
        <v>3.8889727217977121</v>
      </c>
      <c r="AV29" s="264">
        <f t="shared" si="65"/>
        <v>0.95662504476186072</v>
      </c>
      <c r="AW29" s="264">
        <f t="shared" si="65"/>
        <v>0.9460768778992934</v>
      </c>
      <c r="AX29" s="264">
        <f t="shared" si="65"/>
        <v>3.1423290203327126</v>
      </c>
      <c r="AY29" s="371"/>
      <c r="AZ29" s="264">
        <f t="shared" ref="AZ29:AZ37" si="76">(AZ7/AX7-1)*100</f>
        <v>2.9569892473118475</v>
      </c>
      <c r="BA29" s="264">
        <f t="shared" si="66"/>
        <v>0.3481288076588207</v>
      </c>
      <c r="BB29" s="264">
        <f t="shared" si="66"/>
        <v>8.6730268863832727E-2</v>
      </c>
      <c r="BC29" s="264">
        <f t="shared" si="66"/>
        <v>1.1265164644713943</v>
      </c>
      <c r="BD29" s="371"/>
      <c r="BE29" s="264">
        <f t="shared" ref="BE29:BE37" si="77">(BE7/BC7-1)*100</f>
        <v>5.1413881748072043</v>
      </c>
      <c r="BF29" s="264">
        <f>(BF7/BE7-1)*100</f>
        <v>-0.89649551752242207</v>
      </c>
      <c r="BG29" s="264">
        <f>(BG7/BF7-1)*100</f>
        <v>-2.7138157894736836</v>
      </c>
      <c r="BH29" s="474">
        <f t="shared" si="67"/>
        <v>-2.6204564666103103</v>
      </c>
      <c r="BI29" s="474"/>
      <c r="BJ29" s="474">
        <f>(BJ7/BH7-1)*100</f>
        <v>2.34375</v>
      </c>
      <c r="BK29" s="474">
        <f t="shared" si="68"/>
        <v>3.30788804071247</v>
      </c>
      <c r="BL29" s="474">
        <f t="shared" si="68"/>
        <v>3.3661740558292408</v>
      </c>
      <c r="BM29" s="474">
        <f t="shared" si="68"/>
        <v>7.9428117553614896E-2</v>
      </c>
      <c r="BN29" s="371"/>
      <c r="BO29" s="474">
        <f t="shared" ref="BO29:BO37" si="78">(BO7/BM7-1)*100</f>
        <v>0.39682539682539542</v>
      </c>
      <c r="BP29" s="493">
        <f t="shared" si="69"/>
        <v>1.1067193675889264</v>
      </c>
    </row>
    <row r="30" spans="1:107" s="177" customFormat="1" x14ac:dyDescent="0.2">
      <c r="A30" s="178" t="s">
        <v>96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185"/>
      <c r="N30" s="185">
        <f t="shared" si="57"/>
        <v>4.7285917548166134</v>
      </c>
      <c r="O30" s="185">
        <f t="shared" si="57"/>
        <v>1.278267830861668</v>
      </c>
      <c r="P30" s="455"/>
      <c r="Q30" s="185">
        <f t="shared" si="70"/>
        <v>0.69712414234677222</v>
      </c>
      <c r="R30" s="185">
        <f t="shared" si="58"/>
        <v>-0.94326013886213422</v>
      </c>
      <c r="S30" s="185">
        <f t="shared" si="58"/>
        <v>2.4447826647886473</v>
      </c>
      <c r="T30" s="185">
        <f t="shared" si="58"/>
        <v>1.3383095455630212</v>
      </c>
      <c r="U30" s="456"/>
      <c r="V30" s="185">
        <f t="shared" si="71"/>
        <v>-0.91307474387571919</v>
      </c>
      <c r="W30" s="185">
        <f t="shared" si="59"/>
        <v>0.83437085277608958</v>
      </c>
      <c r="X30" s="185">
        <f t="shared" si="59"/>
        <v>1.667739930938783</v>
      </c>
      <c r="Y30" s="185">
        <f t="shared" si="59"/>
        <v>2.1095232588639545</v>
      </c>
      <c r="Z30" s="371"/>
      <c r="AA30" s="185">
        <f t="shared" si="72"/>
        <v>1.086039332124944</v>
      </c>
      <c r="AB30" s="185">
        <f t="shared" si="60"/>
        <v>-0.80845531009717808</v>
      </c>
      <c r="AC30" s="185">
        <f t="shared" si="60"/>
        <v>0.82026693935099981</v>
      </c>
      <c r="AD30" s="185">
        <f t="shared" si="60"/>
        <v>0.51234649644138486</v>
      </c>
      <c r="AE30" s="371"/>
      <c r="AF30" s="185">
        <f t="shared" si="73"/>
        <v>-1.0008599665859319</v>
      </c>
      <c r="AG30" s="185">
        <f t="shared" si="61"/>
        <v>-2.8085987707678561</v>
      </c>
      <c r="AH30" s="185">
        <f t="shared" si="61"/>
        <v>-2.4208411329192048</v>
      </c>
      <c r="AI30" s="185">
        <f t="shared" si="61"/>
        <v>1.6715097011412272</v>
      </c>
      <c r="AJ30" s="371"/>
      <c r="AK30" s="185">
        <f t="shared" si="74"/>
        <v>1.2445287429682095</v>
      </c>
      <c r="AL30" s="185">
        <f t="shared" si="62"/>
        <v>1.1648825358679948</v>
      </c>
      <c r="AM30" s="185">
        <f t="shared" si="62"/>
        <v>2.1491075477961141</v>
      </c>
      <c r="AN30" s="185">
        <f t="shared" si="62"/>
        <v>0.95146276045989797</v>
      </c>
      <c r="AO30" s="371"/>
      <c r="AP30" s="185">
        <f t="shared" si="63"/>
        <v>0.49845795497502898</v>
      </c>
      <c r="AQ30" s="185">
        <f t="shared" si="64"/>
        <v>0.47779224393054154</v>
      </c>
      <c r="AR30" s="185">
        <f t="shared" si="64"/>
        <v>0.62397366194957282</v>
      </c>
      <c r="AS30" s="185">
        <f t="shared" si="64"/>
        <v>-0.14096488393189333</v>
      </c>
      <c r="AT30" s="371"/>
      <c r="AU30" s="264">
        <f t="shared" si="75"/>
        <v>1.1977851478907287</v>
      </c>
      <c r="AV30" s="264">
        <f t="shared" si="65"/>
        <v>6.7566298259635893E-2</v>
      </c>
      <c r="AW30" s="264">
        <f t="shared" si="65"/>
        <v>-0.78872114632045909</v>
      </c>
      <c r="AX30" s="264">
        <f t="shared" si="65"/>
        <v>-2.5490196078431282</v>
      </c>
      <c r="AY30" s="371"/>
      <c r="AZ30" s="264">
        <f t="shared" si="76"/>
        <v>1.609657947686105</v>
      </c>
      <c r="BA30" s="264">
        <f t="shared" si="66"/>
        <v>1.0891089108910901</v>
      </c>
      <c r="BB30" s="264">
        <f t="shared" si="66"/>
        <v>1.3712047012732764</v>
      </c>
      <c r="BC30" s="264">
        <f t="shared" si="66"/>
        <v>-2.6086956521739202</v>
      </c>
      <c r="BD30" s="371"/>
      <c r="BE30" s="264">
        <f t="shared" si="77"/>
        <v>1.8849206349206504</v>
      </c>
      <c r="BF30" s="264">
        <f t="shared" si="67"/>
        <v>3.213242453748788</v>
      </c>
      <c r="BG30" s="264">
        <f t="shared" si="67"/>
        <v>3.3018867924528239</v>
      </c>
      <c r="BH30" s="474">
        <f t="shared" si="67"/>
        <v>4.6575342465753344</v>
      </c>
      <c r="BI30" s="474"/>
      <c r="BJ30" s="474">
        <f t="shared" ref="BJ30:BJ37" si="79">(BJ8/BH8-1)*100</f>
        <v>1.7452006980802848</v>
      </c>
      <c r="BK30" s="474">
        <f t="shared" si="68"/>
        <v>1.3722126929674117</v>
      </c>
      <c r="BL30" s="474">
        <f t="shared" si="68"/>
        <v>-0.4230118443316444</v>
      </c>
      <c r="BM30" s="474">
        <f t="shared" si="68"/>
        <v>2.4638912489379772</v>
      </c>
      <c r="BN30" s="371"/>
      <c r="BO30" s="474">
        <f t="shared" si="78"/>
        <v>2.5704809286899</v>
      </c>
      <c r="BP30" s="493">
        <f t="shared" si="69"/>
        <v>3.1527890056588515</v>
      </c>
    </row>
    <row r="31" spans="1:107" s="177" customFormat="1" x14ac:dyDescent="0.2">
      <c r="A31" s="471" t="s">
        <v>126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185"/>
      <c r="N31" s="185">
        <f t="shared" si="57"/>
        <v>3.0651317012531543</v>
      </c>
      <c r="O31" s="185">
        <f t="shared" si="57"/>
        <v>3.1591302581518654</v>
      </c>
      <c r="P31" s="455"/>
      <c r="Q31" s="185">
        <f t="shared" si="70"/>
        <v>-1.6878787564436171</v>
      </c>
      <c r="R31" s="185">
        <f t="shared" si="58"/>
        <v>0.51684509631158004</v>
      </c>
      <c r="S31" s="185">
        <f t="shared" si="58"/>
        <v>3.4749970388389562</v>
      </c>
      <c r="T31" s="185">
        <f t="shared" si="58"/>
        <v>6.1557516610864393</v>
      </c>
      <c r="U31" s="456"/>
      <c r="V31" s="185">
        <f t="shared" si="71"/>
        <v>5.3948003256983679</v>
      </c>
      <c r="W31" s="185">
        <f t="shared" si="59"/>
        <v>-1.9966296500992575</v>
      </c>
      <c r="X31" s="185">
        <f t="shared" si="59"/>
        <v>3.2195752780823428</v>
      </c>
      <c r="Y31" s="185">
        <f t="shared" si="59"/>
        <v>-6.1695513556995767</v>
      </c>
      <c r="Z31" s="371"/>
      <c r="AA31" s="185">
        <f t="shared" si="72"/>
        <v>1.8252120610023903</v>
      </c>
      <c r="AB31" s="185">
        <f t="shared" si="60"/>
        <v>-8.1074856893853955</v>
      </c>
      <c r="AC31" s="185">
        <f t="shared" si="60"/>
        <v>8.8954572520500328</v>
      </c>
      <c r="AD31" s="185">
        <f t="shared" si="60"/>
        <v>2.2490085200147059</v>
      </c>
      <c r="AE31" s="371"/>
      <c r="AF31" s="185">
        <f t="shared" si="73"/>
        <v>-8.7668868213954809</v>
      </c>
      <c r="AG31" s="185">
        <f t="shared" si="61"/>
        <v>8.961323700933832</v>
      </c>
      <c r="AH31" s="185">
        <f t="shared" si="61"/>
        <v>-2.4290095148058799</v>
      </c>
      <c r="AI31" s="185">
        <f t="shared" si="61"/>
        <v>-2.2762664876639582</v>
      </c>
      <c r="AJ31" s="371"/>
      <c r="AK31" s="185">
        <f t="shared" si="74"/>
        <v>2.1674758491007085</v>
      </c>
      <c r="AL31" s="185">
        <f t="shared" si="62"/>
        <v>2.7927526711225337</v>
      </c>
      <c r="AM31" s="185">
        <f t="shared" si="62"/>
        <v>-4.0254834824364982</v>
      </c>
      <c r="AN31" s="185">
        <f t="shared" si="62"/>
        <v>6.7550179026176771</v>
      </c>
      <c r="AO31" s="371"/>
      <c r="AP31" s="185">
        <f t="shared" si="63"/>
        <v>4.081725596275021</v>
      </c>
      <c r="AQ31" s="185">
        <f t="shared" si="64"/>
        <v>-0.77378242964390997</v>
      </c>
      <c r="AR31" s="185">
        <f t="shared" si="64"/>
        <v>0.98709451398482084</v>
      </c>
      <c r="AS31" s="185">
        <f t="shared" si="64"/>
        <v>-0.21913484544556772</v>
      </c>
      <c r="AT31" s="371"/>
      <c r="AU31" s="264">
        <f t="shared" si="75"/>
        <v>1.8975777592626475</v>
      </c>
      <c r="AV31" s="264">
        <f t="shared" si="65"/>
        <v>0.72506738720155006</v>
      </c>
      <c r="AW31" s="264">
        <f t="shared" si="65"/>
        <v>0.5494247901074667</v>
      </c>
      <c r="AX31" s="264">
        <f t="shared" si="65"/>
        <v>1.0018214936247771</v>
      </c>
      <c r="AY31" s="371"/>
      <c r="AZ31" s="264">
        <f t="shared" si="76"/>
        <v>3.8773669972948621</v>
      </c>
      <c r="BA31" s="264">
        <f t="shared" si="66"/>
        <v>-0.69444444444444198</v>
      </c>
      <c r="BB31" s="264">
        <f t="shared" si="66"/>
        <v>4.7202797202797075</v>
      </c>
      <c r="BC31" s="264">
        <f t="shared" si="66"/>
        <v>-1.7529215358931483</v>
      </c>
      <c r="BD31" s="371"/>
      <c r="BE31" s="264">
        <f t="shared" si="77"/>
        <v>4.1631265930331285</v>
      </c>
      <c r="BF31" s="264">
        <f t="shared" si="67"/>
        <v>0.65252854812398731</v>
      </c>
      <c r="BG31" s="264">
        <f t="shared" si="67"/>
        <v>-1.5397082658022754</v>
      </c>
      <c r="BH31" s="474">
        <f t="shared" si="67"/>
        <v>-1.0699588477366184</v>
      </c>
      <c r="BI31" s="474"/>
      <c r="BJ31" s="474">
        <f t="shared" si="79"/>
        <v>8.3194675540765317E-2</v>
      </c>
      <c r="BK31" s="474">
        <f t="shared" si="68"/>
        <v>2.1612635078969378</v>
      </c>
      <c r="BL31" s="474">
        <f t="shared" si="68"/>
        <v>0.32546786004881145</v>
      </c>
      <c r="BM31" s="474">
        <f t="shared" si="68"/>
        <v>0.72992700729928028</v>
      </c>
      <c r="BN31" s="371"/>
      <c r="BO31" s="474">
        <f t="shared" si="78"/>
        <v>3.5426731078904927</v>
      </c>
      <c r="BP31" s="493">
        <f t="shared" si="69"/>
        <v>3.5769828926905056</v>
      </c>
    </row>
    <row r="32" spans="1:107" s="177" customFormat="1" x14ac:dyDescent="0.2">
      <c r="A32" s="471" t="s">
        <v>127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185"/>
      <c r="N32" s="185">
        <f t="shared" si="57"/>
        <v>17.7376996516196</v>
      </c>
      <c r="O32" s="185">
        <f t="shared" si="57"/>
        <v>7.7318820849733516</v>
      </c>
      <c r="P32" s="455"/>
      <c r="Q32" s="185">
        <f t="shared" si="70"/>
        <v>2.4634668958376515</v>
      </c>
      <c r="R32" s="185">
        <f t="shared" si="58"/>
        <v>2.2823519272545889</v>
      </c>
      <c r="S32" s="185">
        <f t="shared" si="58"/>
        <v>3.2400126478025593</v>
      </c>
      <c r="T32" s="185">
        <f t="shared" si="58"/>
        <v>-0.26841830401657107</v>
      </c>
      <c r="U32" s="456"/>
      <c r="V32" s="185">
        <f t="shared" si="71"/>
        <v>9.8085939541009637</v>
      </c>
      <c r="W32" s="185">
        <f t="shared" si="59"/>
        <v>-0.53038884209818393</v>
      </c>
      <c r="X32" s="185">
        <f t="shared" si="59"/>
        <v>2.5060130591327834</v>
      </c>
      <c r="Y32" s="185">
        <f t="shared" si="59"/>
        <v>0.61181277400856882</v>
      </c>
      <c r="Z32" s="371"/>
      <c r="AA32" s="185">
        <f t="shared" si="72"/>
        <v>-2.3827338334653114</v>
      </c>
      <c r="AB32" s="185">
        <f t="shared" si="60"/>
        <v>1.2031922940504813</v>
      </c>
      <c r="AC32" s="185">
        <f t="shared" si="60"/>
        <v>8.249002617246548</v>
      </c>
      <c r="AD32" s="185">
        <f t="shared" si="60"/>
        <v>2.4900982437110475</v>
      </c>
      <c r="AE32" s="371"/>
      <c r="AF32" s="185">
        <f t="shared" si="73"/>
        <v>-4.44631554763808</v>
      </c>
      <c r="AG32" s="185">
        <f t="shared" si="61"/>
        <v>-1.0218325505713555</v>
      </c>
      <c r="AH32" s="185">
        <f t="shared" si="61"/>
        <v>-0.73116340734333818</v>
      </c>
      <c r="AI32" s="185">
        <f t="shared" si="61"/>
        <v>0.29403627813222588</v>
      </c>
      <c r="AJ32" s="371"/>
      <c r="AK32" s="185">
        <f t="shared" si="74"/>
        <v>-2.1547573358885797</v>
      </c>
      <c r="AL32" s="185">
        <f t="shared" si="62"/>
        <v>0.58142968510319637</v>
      </c>
      <c r="AM32" s="185">
        <f t="shared" si="62"/>
        <v>1.2815028846101084</v>
      </c>
      <c r="AN32" s="185">
        <f t="shared" si="62"/>
        <v>0.89325833072615435</v>
      </c>
      <c r="AO32" s="371"/>
      <c r="AP32" s="185">
        <f t="shared" si="63"/>
        <v>0.74555598152523661</v>
      </c>
      <c r="AQ32" s="185">
        <f t="shared" si="64"/>
        <v>2.2643771993080986</v>
      </c>
      <c r="AR32" s="185">
        <f t="shared" si="64"/>
        <v>-3.5843544666194882</v>
      </c>
      <c r="AS32" s="185">
        <f t="shared" si="64"/>
        <v>0.68163238784866298</v>
      </c>
      <c r="AT32" s="371"/>
      <c r="AU32" s="264">
        <f t="shared" si="75"/>
        <v>2.2620200067185792</v>
      </c>
      <c r="AV32" s="264">
        <f t="shared" si="65"/>
        <v>-8.1068846846255038E-2</v>
      </c>
      <c r="AW32" s="264">
        <f t="shared" si="65"/>
        <v>-1.1933984413584287</v>
      </c>
      <c r="AX32" s="264">
        <f t="shared" si="65"/>
        <v>-0.393700787401563</v>
      </c>
      <c r="AY32" s="371"/>
      <c r="AZ32" s="264">
        <f t="shared" si="76"/>
        <v>4.743083003952564</v>
      </c>
      <c r="BA32" s="264">
        <f t="shared" si="66"/>
        <v>-1.5094339622641506</v>
      </c>
      <c r="BB32" s="264">
        <f t="shared" si="66"/>
        <v>-5.2681992337164747</v>
      </c>
      <c r="BC32" s="264">
        <f t="shared" si="66"/>
        <v>6.0667340748230547</v>
      </c>
      <c r="BD32" s="371"/>
      <c r="BE32" s="264">
        <f t="shared" si="77"/>
        <v>2.0972354623450817</v>
      </c>
      <c r="BF32" s="264">
        <f t="shared" si="67"/>
        <v>3.2679738562091609</v>
      </c>
      <c r="BG32" s="264">
        <f t="shared" si="67"/>
        <v>1.8083182640144635</v>
      </c>
      <c r="BH32" s="474">
        <f t="shared" si="67"/>
        <v>1.243339253996445</v>
      </c>
      <c r="BI32" s="474"/>
      <c r="BJ32" s="474">
        <f t="shared" si="79"/>
        <v>0.70175438596491446</v>
      </c>
      <c r="BK32" s="474">
        <f t="shared" si="68"/>
        <v>1.0452961672473782</v>
      </c>
      <c r="BL32" s="474">
        <f t="shared" si="68"/>
        <v>-0.51724137931034031</v>
      </c>
      <c r="BM32" s="474">
        <f t="shared" si="68"/>
        <v>0.34662045060658286</v>
      </c>
      <c r="BN32" s="371"/>
      <c r="BO32" s="474">
        <f t="shared" si="78"/>
        <v>0.86355785837650689</v>
      </c>
      <c r="BP32" s="493">
        <f t="shared" si="69"/>
        <v>2.3972602739726012</v>
      </c>
    </row>
    <row r="33" spans="1:69" s="177" customFormat="1" x14ac:dyDescent="0.2">
      <c r="A33" s="471" t="s">
        <v>128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185"/>
      <c r="N33" s="185">
        <f t="shared" si="57"/>
        <v>-1.1198640544048066</v>
      </c>
      <c r="O33" s="185">
        <f t="shared" si="57"/>
        <v>6.2289054844758551</v>
      </c>
      <c r="P33" s="455"/>
      <c r="Q33" s="185">
        <f t="shared" si="70"/>
        <v>-1.7939714840310095</v>
      </c>
      <c r="R33" s="185">
        <f t="shared" si="58"/>
        <v>8.9514493995594755</v>
      </c>
      <c r="S33" s="185">
        <f t="shared" si="58"/>
        <v>1.0897095937976609</v>
      </c>
      <c r="T33" s="185">
        <f t="shared" si="58"/>
        <v>0.42775877522636119</v>
      </c>
      <c r="U33" s="456"/>
      <c r="V33" s="185">
        <f t="shared" si="71"/>
        <v>-1.3860319267703147</v>
      </c>
      <c r="W33" s="185">
        <f t="shared" si="59"/>
        <v>-2.2010254757099501</v>
      </c>
      <c r="X33" s="185">
        <f t="shared" si="59"/>
        <v>3.7875819704618285</v>
      </c>
      <c r="Y33" s="185">
        <f t="shared" si="59"/>
        <v>2.1988118977914972</v>
      </c>
      <c r="Z33" s="371"/>
      <c r="AA33" s="185">
        <f t="shared" si="72"/>
        <v>0.83390281332160754</v>
      </c>
      <c r="AB33" s="185">
        <f t="shared" si="60"/>
        <v>0.36735789212651859</v>
      </c>
      <c r="AC33" s="185">
        <f t="shared" si="60"/>
        <v>9.6134830502922384</v>
      </c>
      <c r="AD33" s="185">
        <f t="shared" si="60"/>
        <v>1.7449021707187429</v>
      </c>
      <c r="AE33" s="371"/>
      <c r="AF33" s="185">
        <f t="shared" si="73"/>
        <v>2.6927506240193466</v>
      </c>
      <c r="AG33" s="185">
        <f t="shared" si="61"/>
        <v>1.6026805113723785</v>
      </c>
      <c r="AH33" s="185">
        <f t="shared" si="61"/>
        <v>0.39167984035837211</v>
      </c>
      <c r="AI33" s="185">
        <f t="shared" si="61"/>
        <v>0.17516355878739454</v>
      </c>
      <c r="AJ33" s="371"/>
      <c r="AK33" s="185">
        <f t="shared" si="74"/>
        <v>-1.415428084034831</v>
      </c>
      <c r="AL33" s="185">
        <f t="shared" si="62"/>
        <v>1.119119909770494</v>
      </c>
      <c r="AM33" s="185">
        <f t="shared" si="62"/>
        <v>0.16600370716020052</v>
      </c>
      <c r="AN33" s="185">
        <f t="shared" si="62"/>
        <v>-0.79914327285088849</v>
      </c>
      <c r="AO33" s="371"/>
      <c r="AP33" s="185">
        <f t="shared" si="63"/>
        <v>-0.11343493154741813</v>
      </c>
      <c r="AQ33" s="185">
        <f t="shared" si="64"/>
        <v>0.54590676720156495</v>
      </c>
      <c r="AR33" s="185">
        <f t="shared" si="64"/>
        <v>-1.9299702494915416</v>
      </c>
      <c r="AS33" s="185">
        <f t="shared" si="64"/>
        <v>-0.33949789167494471</v>
      </c>
      <c r="AT33" s="371"/>
      <c r="AU33" s="264">
        <f t="shared" si="75"/>
        <v>2.5937241529181865</v>
      </c>
      <c r="AV33" s="264">
        <f t="shared" si="65"/>
        <v>0.30751245597324672</v>
      </c>
      <c r="AW33" s="264">
        <f t="shared" si="65"/>
        <v>-0.80717981713387399</v>
      </c>
      <c r="AX33" s="264">
        <f t="shared" si="65"/>
        <v>-2.6946107784431184</v>
      </c>
      <c r="AY33" s="371"/>
      <c r="AZ33" s="264">
        <f t="shared" si="76"/>
        <v>6.7692307692307718</v>
      </c>
      <c r="BA33" s="264">
        <f t="shared" si="66"/>
        <v>-2.4015369836695499</v>
      </c>
      <c r="BB33" s="264">
        <f t="shared" si="66"/>
        <v>0.68897637795275468</v>
      </c>
      <c r="BC33" s="264">
        <f t="shared" si="66"/>
        <v>0.3910068426197455</v>
      </c>
      <c r="BD33" s="371"/>
      <c r="BE33" s="264">
        <f t="shared" si="77"/>
        <v>0.87633885102238462</v>
      </c>
      <c r="BF33" s="264">
        <f t="shared" si="67"/>
        <v>2.7027027027027195</v>
      </c>
      <c r="BG33" s="264">
        <f t="shared" si="67"/>
        <v>0.1879699248120259</v>
      </c>
      <c r="BH33" s="474">
        <f t="shared" si="67"/>
        <v>1.9699812382739212</v>
      </c>
      <c r="BI33" s="474"/>
      <c r="BJ33" s="474">
        <f t="shared" si="79"/>
        <v>2.7598896044158217</v>
      </c>
      <c r="BK33" s="474">
        <f t="shared" si="68"/>
        <v>-8.9525514771715553E-2</v>
      </c>
      <c r="BL33" s="474">
        <f t="shared" si="68"/>
        <v>2.1505376344086002</v>
      </c>
      <c r="BM33" s="474">
        <f t="shared" si="68"/>
        <v>1.0526315789473717</v>
      </c>
      <c r="BN33" s="371"/>
      <c r="BO33" s="474">
        <f t="shared" si="78"/>
        <v>-0.34722222222223209</v>
      </c>
      <c r="BP33" s="493">
        <f t="shared" si="69"/>
        <v>1.5679442508710784</v>
      </c>
    </row>
    <row r="34" spans="1:69" s="177" customFormat="1" x14ac:dyDescent="0.2">
      <c r="A34" s="471" t="s">
        <v>129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185"/>
      <c r="N34" s="185">
        <f t="shared" si="57"/>
        <v>-5.0199905163927028</v>
      </c>
      <c r="O34" s="185">
        <f t="shared" si="57"/>
        <v>4.3726181263765929</v>
      </c>
      <c r="P34" s="455"/>
      <c r="Q34" s="185">
        <f t="shared" si="70"/>
        <v>-4.1404157912932282</v>
      </c>
      <c r="R34" s="185">
        <f t="shared" si="58"/>
        <v>1.6619100828812128</v>
      </c>
      <c r="S34" s="185">
        <f t="shared" si="58"/>
        <v>1.6022806407511858</v>
      </c>
      <c r="T34" s="185">
        <f t="shared" si="58"/>
        <v>2.0699803820595664</v>
      </c>
      <c r="U34" s="456"/>
      <c r="V34" s="185">
        <f t="shared" si="71"/>
        <v>-2.7608585792779028</v>
      </c>
      <c r="W34" s="185">
        <f t="shared" si="59"/>
        <v>-1.456421967790178</v>
      </c>
      <c r="X34" s="185">
        <f t="shared" si="59"/>
        <v>-2.4073981383726739</v>
      </c>
      <c r="Y34" s="185">
        <f t="shared" si="59"/>
        <v>2.9562450866142287</v>
      </c>
      <c r="Z34" s="371"/>
      <c r="AA34" s="185">
        <f t="shared" si="72"/>
        <v>2.024386090409469</v>
      </c>
      <c r="AB34" s="185">
        <f t="shared" si="60"/>
        <v>1.050180682212809</v>
      </c>
      <c r="AC34" s="185">
        <f t="shared" si="60"/>
        <v>-1.8007515796026108</v>
      </c>
      <c r="AD34" s="185">
        <f t="shared" si="60"/>
        <v>1.7955891330439622</v>
      </c>
      <c r="AE34" s="371"/>
      <c r="AF34" s="185">
        <f t="shared" si="73"/>
        <v>-2.5093345540525558</v>
      </c>
      <c r="AG34" s="185">
        <f t="shared" si="61"/>
        <v>-4.5573925577868106</v>
      </c>
      <c r="AH34" s="185">
        <f t="shared" si="61"/>
        <v>-1.4975967364746601</v>
      </c>
      <c r="AI34" s="185">
        <f t="shared" si="61"/>
        <v>-0.76748116660450005</v>
      </c>
      <c r="AJ34" s="371"/>
      <c r="AK34" s="185">
        <f t="shared" si="74"/>
        <v>1.9041834894399701</v>
      </c>
      <c r="AL34" s="185">
        <f t="shared" si="62"/>
        <v>5.0392158268230958E-2</v>
      </c>
      <c r="AM34" s="185">
        <f t="shared" si="62"/>
        <v>0.31843685971923996</v>
      </c>
      <c r="AN34" s="185">
        <f t="shared" si="62"/>
        <v>2.764030094252945</v>
      </c>
      <c r="AO34" s="371"/>
      <c r="AP34" s="185">
        <f t="shared" si="63"/>
        <v>1.0188105798470293</v>
      </c>
      <c r="AQ34" s="185">
        <f t="shared" si="64"/>
        <v>1.4346798186637866</v>
      </c>
      <c r="AR34" s="185">
        <f t="shared" si="64"/>
        <v>-4.8444238286999948</v>
      </c>
      <c r="AS34" s="185">
        <f t="shared" si="64"/>
        <v>1.1580214682608947</v>
      </c>
      <c r="AT34" s="371"/>
      <c r="AU34" s="264">
        <f t="shared" si="75"/>
        <v>2.431208031760046</v>
      </c>
      <c r="AV34" s="264">
        <f t="shared" si="65"/>
        <v>0.1120315246348369</v>
      </c>
      <c r="AW34" s="264">
        <f t="shared" si="65"/>
        <v>0.74827439407390006</v>
      </c>
      <c r="AX34" s="264">
        <f t="shared" si="65"/>
        <v>-3.8385826771653475</v>
      </c>
      <c r="AY34" s="371"/>
      <c r="AZ34" s="264">
        <f t="shared" si="76"/>
        <v>-1.7400204708290734</v>
      </c>
      <c r="BA34" s="264">
        <f t="shared" si="66"/>
        <v>9.2708333333333393</v>
      </c>
      <c r="BB34" s="264">
        <f t="shared" si="66"/>
        <v>-5.4337464251668299</v>
      </c>
      <c r="BC34" s="264">
        <f t="shared" si="66"/>
        <v>-0.90725806451613655</v>
      </c>
      <c r="BD34" s="371"/>
      <c r="BE34" s="264">
        <f t="shared" si="77"/>
        <v>0.81383519837232576</v>
      </c>
      <c r="BF34" s="264">
        <f t="shared" si="67"/>
        <v>5.5499495459132131</v>
      </c>
      <c r="BG34" s="264">
        <f t="shared" si="67"/>
        <v>1.2428298279158811</v>
      </c>
      <c r="BH34" s="474">
        <f t="shared" si="67"/>
        <v>1.8885741265344702</v>
      </c>
      <c r="BI34" s="474"/>
      <c r="BJ34" s="474">
        <f t="shared" si="79"/>
        <v>-9.2678405931423402E-2</v>
      </c>
      <c r="BK34" s="474">
        <f t="shared" si="68"/>
        <v>0.64935064935065512</v>
      </c>
      <c r="BL34" s="474">
        <f t="shared" si="68"/>
        <v>-9.216589861750224E-2</v>
      </c>
      <c r="BM34" s="474">
        <f t="shared" si="68"/>
        <v>0.18450184501843658</v>
      </c>
      <c r="BN34" s="371"/>
      <c r="BO34" s="474">
        <f t="shared" si="78"/>
        <v>0.36832412523020164</v>
      </c>
      <c r="BP34" s="493">
        <f t="shared" si="69"/>
        <v>1.192660550458724</v>
      </c>
    </row>
    <row r="35" spans="1:69" s="177" customFormat="1" x14ac:dyDescent="0.2">
      <c r="A35" s="471" t="s">
        <v>130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185"/>
      <c r="N35" s="185">
        <f t="shared" si="57"/>
        <v>2.9756718460735243</v>
      </c>
      <c r="O35" s="185">
        <f t="shared" si="57"/>
        <v>5.6657625287258817</v>
      </c>
      <c r="P35" s="455"/>
      <c r="Q35" s="185">
        <f t="shared" si="70"/>
        <v>-5.6045210247753996</v>
      </c>
      <c r="R35" s="185">
        <f t="shared" si="58"/>
        <v>6.0975070715847401</v>
      </c>
      <c r="S35" s="185">
        <f t="shared" si="58"/>
        <v>0.44740554121198706</v>
      </c>
      <c r="T35" s="185">
        <f t="shared" si="58"/>
        <v>0.4800986278794106</v>
      </c>
      <c r="U35" s="456"/>
      <c r="V35" s="185">
        <f t="shared" si="71"/>
        <v>0.47599294367937084</v>
      </c>
      <c r="W35" s="185">
        <f t="shared" si="59"/>
        <v>0.89307526260526959</v>
      </c>
      <c r="X35" s="185">
        <f t="shared" si="59"/>
        <v>1.2824565004128541</v>
      </c>
      <c r="Y35" s="185">
        <f t="shared" si="59"/>
        <v>1.3016016752050774</v>
      </c>
      <c r="Z35" s="371"/>
      <c r="AA35" s="185">
        <f t="shared" si="72"/>
        <v>2.9981303754707866</v>
      </c>
      <c r="AB35" s="185">
        <f t="shared" si="60"/>
        <v>-1.4246556620935547</v>
      </c>
      <c r="AC35" s="185">
        <f t="shared" si="60"/>
        <v>4.3233898924732728E-2</v>
      </c>
      <c r="AD35" s="185">
        <f t="shared" si="60"/>
        <v>-1.3403057505415261</v>
      </c>
      <c r="AE35" s="371"/>
      <c r="AF35" s="185">
        <f t="shared" si="73"/>
        <v>0.3230629070561708</v>
      </c>
      <c r="AG35" s="185">
        <f t="shared" si="61"/>
        <v>-1.5234186755315848</v>
      </c>
      <c r="AH35" s="185">
        <f t="shared" si="61"/>
        <v>0.78079410383693482</v>
      </c>
      <c r="AI35" s="185">
        <f t="shared" si="61"/>
        <v>-7.852778071727462E-2</v>
      </c>
      <c r="AJ35" s="371"/>
      <c r="AK35" s="185">
        <f t="shared" si="74"/>
        <v>-0.85794649345581897</v>
      </c>
      <c r="AL35" s="185">
        <f t="shared" si="62"/>
        <v>0.90325605585459545</v>
      </c>
      <c r="AM35" s="185">
        <f t="shared" si="62"/>
        <v>1.2001513887042847</v>
      </c>
      <c r="AN35" s="185">
        <f t="shared" si="62"/>
        <v>0.45680864188191173</v>
      </c>
      <c r="AO35" s="371"/>
      <c r="AP35" s="185">
        <f t="shared" si="63"/>
        <v>-0.9727229931399739</v>
      </c>
      <c r="AQ35" s="185">
        <f t="shared" si="64"/>
        <v>-0.90950302316691323</v>
      </c>
      <c r="AR35" s="185">
        <f t="shared" si="64"/>
        <v>-4.6081450185954225</v>
      </c>
      <c r="AS35" s="185">
        <f t="shared" si="64"/>
        <v>2.6970050343089191E-2</v>
      </c>
      <c r="AT35" s="371"/>
      <c r="AU35" s="264">
        <f t="shared" si="75"/>
        <v>2.5490670669582549</v>
      </c>
      <c r="AV35" s="264">
        <f t="shared" si="65"/>
        <v>0.8705005209722394</v>
      </c>
      <c r="AW35" s="264">
        <f t="shared" si="65"/>
        <v>-1.1963705405093394</v>
      </c>
      <c r="AX35" s="264">
        <f t="shared" si="65"/>
        <v>2.5879917184264967</v>
      </c>
      <c r="AY35" s="371"/>
      <c r="AZ35" s="264">
        <f t="shared" si="76"/>
        <v>-3.3299697275479323</v>
      </c>
      <c r="BA35" s="264">
        <f t="shared" si="66"/>
        <v>-1.6701461377870541</v>
      </c>
      <c r="BB35" s="264">
        <f t="shared" si="66"/>
        <v>-2.7600849256900317</v>
      </c>
      <c r="BC35" s="264">
        <f t="shared" si="66"/>
        <v>-0.32751091703056012</v>
      </c>
      <c r="BD35" s="371"/>
      <c r="BE35" s="264">
        <f t="shared" si="77"/>
        <v>2.8477546549835697</v>
      </c>
      <c r="BF35" s="264">
        <f t="shared" si="67"/>
        <v>-0.85197018104367084</v>
      </c>
      <c r="BG35" s="264">
        <f t="shared" si="67"/>
        <v>2.7926960257787403</v>
      </c>
      <c r="BH35" s="474">
        <f t="shared" si="67"/>
        <v>3.4482758620689724</v>
      </c>
      <c r="BI35" s="474"/>
      <c r="BJ35" s="474">
        <f t="shared" si="79"/>
        <v>2.020202020202011</v>
      </c>
      <c r="BK35" s="474">
        <f t="shared" si="68"/>
        <v>7.7227722772277296</v>
      </c>
      <c r="BL35" s="474">
        <f t="shared" si="68"/>
        <v>6.3419117647058876</v>
      </c>
      <c r="BM35" s="474">
        <f t="shared" si="68"/>
        <v>4.9265341400172913</v>
      </c>
      <c r="BN35" s="371"/>
      <c r="BO35" s="474">
        <f t="shared" si="78"/>
        <v>-0.57660626029654161</v>
      </c>
      <c r="BP35" s="493">
        <f t="shared" si="69"/>
        <v>1.6570008285004212</v>
      </c>
    </row>
    <row r="36" spans="1:69" s="177" customFormat="1" x14ac:dyDescent="0.2">
      <c r="A36" s="471" t="s">
        <v>131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185"/>
      <c r="N36" s="185">
        <f t="shared" si="57"/>
        <v>22.791278554921313</v>
      </c>
      <c r="O36" s="185">
        <f t="shared" si="57"/>
        <v>-0.90679573201123409</v>
      </c>
      <c r="P36" s="455"/>
      <c r="Q36" s="185">
        <f t="shared" si="70"/>
        <v>4.2084597160243042</v>
      </c>
      <c r="R36" s="185">
        <f t="shared" si="58"/>
        <v>-0.69635659353934898</v>
      </c>
      <c r="S36" s="185">
        <f t="shared" si="58"/>
        <v>1.0951686105909797</v>
      </c>
      <c r="T36" s="185">
        <f t="shared" si="58"/>
        <v>-0.1554760231078256</v>
      </c>
      <c r="U36" s="456"/>
      <c r="V36" s="185">
        <f t="shared" si="71"/>
        <v>1.8871654548413552</v>
      </c>
      <c r="W36" s="185">
        <f t="shared" si="59"/>
        <v>4.4373006465716847</v>
      </c>
      <c r="X36" s="185">
        <f t="shared" si="59"/>
        <v>-0.42846379334692264</v>
      </c>
      <c r="Y36" s="185">
        <f t="shared" si="59"/>
        <v>1.3447797891757984</v>
      </c>
      <c r="Z36" s="371"/>
      <c r="AA36" s="185">
        <f t="shared" si="72"/>
        <v>1.0047354233150285</v>
      </c>
      <c r="AB36" s="185">
        <f t="shared" si="60"/>
        <v>-8.6181456312750537E-2</v>
      </c>
      <c r="AC36" s="185">
        <f t="shared" si="60"/>
        <v>0.20499994899274565</v>
      </c>
      <c r="AD36" s="185">
        <f t="shared" si="60"/>
        <v>-4.468755567993421E-2</v>
      </c>
      <c r="AE36" s="371"/>
      <c r="AF36" s="185">
        <f t="shared" si="73"/>
        <v>2.7504697695066138</v>
      </c>
      <c r="AG36" s="185">
        <f t="shared" si="61"/>
        <v>1.3113529107968258</v>
      </c>
      <c r="AH36" s="185">
        <f t="shared" si="61"/>
        <v>2.0510757266797075</v>
      </c>
      <c r="AI36" s="185">
        <f t="shared" si="61"/>
        <v>-1.5460419612012943</v>
      </c>
      <c r="AJ36" s="371"/>
      <c r="AK36" s="185">
        <f t="shared" si="74"/>
        <v>-0.28439268013120689</v>
      </c>
      <c r="AL36" s="185">
        <f t="shared" si="62"/>
        <v>1.6423125487364132</v>
      </c>
      <c r="AM36" s="185">
        <f t="shared" si="62"/>
        <v>1.554652647445165</v>
      </c>
      <c r="AN36" s="185">
        <f t="shared" si="62"/>
        <v>0.52137381734496113</v>
      </c>
      <c r="AO36" s="371"/>
      <c r="AP36" s="185">
        <f t="shared" si="63"/>
        <v>0.15365548608938795</v>
      </c>
      <c r="AQ36" s="185">
        <f t="shared" si="64"/>
        <v>1.1026381061508328</v>
      </c>
      <c r="AR36" s="185">
        <f t="shared" si="64"/>
        <v>0.90410927264232832</v>
      </c>
      <c r="AS36" s="185">
        <f t="shared" si="64"/>
        <v>-0.26391664835270223</v>
      </c>
      <c r="AT36" s="371"/>
      <c r="AU36" s="264">
        <f t="shared" si="75"/>
        <v>1.4100322378416408</v>
      </c>
      <c r="AV36" s="264">
        <f t="shared" si="65"/>
        <v>1.0962065356434847</v>
      </c>
      <c r="AW36" s="264">
        <f t="shared" si="65"/>
        <v>0.47551140772217337</v>
      </c>
      <c r="AX36" s="264">
        <f t="shared" si="65"/>
        <v>-0.56980056980056037</v>
      </c>
      <c r="AY36" s="371"/>
      <c r="AZ36" s="264">
        <f t="shared" si="76"/>
        <v>-2.5787965616045905</v>
      </c>
      <c r="BA36" s="264">
        <f t="shared" si="66"/>
        <v>19.313725490196077</v>
      </c>
      <c r="BB36" s="264">
        <f t="shared" si="66"/>
        <v>-8.1347576006573608</v>
      </c>
      <c r="BC36" s="264">
        <f t="shared" si="66"/>
        <v>-5.1878354203935606</v>
      </c>
      <c r="BD36" s="371"/>
      <c r="BE36" s="264">
        <f t="shared" si="77"/>
        <v>-0.66037735849057144</v>
      </c>
      <c r="BF36" s="264">
        <f t="shared" si="67"/>
        <v>1.8043684710351338</v>
      </c>
      <c r="BG36" s="264">
        <f t="shared" si="67"/>
        <v>2.2388059701492491</v>
      </c>
      <c r="BH36" s="474">
        <f t="shared" si="67"/>
        <v>17.42700729927007</v>
      </c>
      <c r="BI36" s="474"/>
      <c r="BJ36" s="474">
        <f t="shared" si="79"/>
        <v>16.006216006216036</v>
      </c>
      <c r="BK36" s="474">
        <f t="shared" si="68"/>
        <v>0.26791694574679337</v>
      </c>
      <c r="BL36" s="474">
        <f t="shared" si="68"/>
        <v>6.6800267201094776E-2</v>
      </c>
      <c r="BM36" s="474">
        <f t="shared" si="68"/>
        <v>1.8691588785046509</v>
      </c>
      <c r="BN36" s="371"/>
      <c r="BO36" s="474">
        <f t="shared" si="78"/>
        <v>0.98296199213629976</v>
      </c>
      <c r="BP36" s="493">
        <f t="shared" si="69"/>
        <v>-0.77871512005190935</v>
      </c>
    </row>
    <row r="37" spans="1:69" s="177" customFormat="1" x14ac:dyDescent="0.2">
      <c r="A37" s="472" t="s">
        <v>132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2"/>
      <c r="N37" s="462">
        <f t="shared" si="57"/>
        <v>21.683650800923715</v>
      </c>
      <c r="O37" s="462">
        <f t="shared" si="57"/>
        <v>-2.1481349762917712</v>
      </c>
      <c r="P37" s="335"/>
      <c r="Q37" s="462">
        <f t="shared" si="70"/>
        <v>5.8381083086603391</v>
      </c>
      <c r="R37" s="462">
        <f t="shared" si="58"/>
        <v>-1.7384458518127088</v>
      </c>
      <c r="S37" s="462">
        <f t="shared" si="58"/>
        <v>2.8272609709727448</v>
      </c>
      <c r="T37" s="462">
        <f t="shared" si="58"/>
        <v>1.2510036874453512</v>
      </c>
      <c r="U37" s="337"/>
      <c r="V37" s="462">
        <f t="shared" si="71"/>
        <v>-0.67574167496247117</v>
      </c>
      <c r="W37" s="462">
        <f t="shared" si="59"/>
        <v>1.5462092205842159</v>
      </c>
      <c r="X37" s="462">
        <f t="shared" si="59"/>
        <v>-1.5296052777594382</v>
      </c>
      <c r="Y37" s="462">
        <f t="shared" si="59"/>
        <v>-1.7420053388072398</v>
      </c>
      <c r="Z37" s="336"/>
      <c r="AA37" s="462">
        <f t="shared" si="72"/>
        <v>10.21896754789422</v>
      </c>
      <c r="AB37" s="462">
        <f t="shared" si="60"/>
        <v>-5.0844043148176148</v>
      </c>
      <c r="AC37" s="462">
        <f t="shared" si="60"/>
        <v>6.5465508944048789</v>
      </c>
      <c r="AD37" s="462">
        <f t="shared" si="60"/>
        <v>0.67602164909144058</v>
      </c>
      <c r="AE37" s="336"/>
      <c r="AF37" s="462">
        <f t="shared" si="73"/>
        <v>0.31004428728873545</v>
      </c>
      <c r="AG37" s="462">
        <f t="shared" si="61"/>
        <v>-4.7291737684692858</v>
      </c>
      <c r="AH37" s="462">
        <f t="shared" si="61"/>
        <v>-0.68736591287935633</v>
      </c>
      <c r="AI37" s="462">
        <f t="shared" si="61"/>
        <v>0.278595060737441</v>
      </c>
      <c r="AJ37" s="336"/>
      <c r="AK37" s="462">
        <f t="shared" si="74"/>
        <v>3.7931303012258555</v>
      </c>
      <c r="AL37" s="462">
        <f t="shared" si="62"/>
        <v>-3.6299435364444355</v>
      </c>
      <c r="AM37" s="462">
        <f t="shared" si="62"/>
        <v>-1.4020247837881916</v>
      </c>
      <c r="AN37" s="462">
        <f t="shared" si="62"/>
        <v>-0.80032102515648074</v>
      </c>
      <c r="AO37" s="336"/>
      <c r="AP37" s="462">
        <f t="shared" si="63"/>
        <v>0.78694262470124787</v>
      </c>
      <c r="AQ37" s="462">
        <f t="shared" si="64"/>
        <v>0.18741477540553664</v>
      </c>
      <c r="AR37" s="462">
        <f t="shared" si="64"/>
        <v>0.67121141582169308</v>
      </c>
      <c r="AS37" s="462">
        <f t="shared" si="64"/>
        <v>-0.24296930405366401</v>
      </c>
      <c r="AT37" s="336"/>
      <c r="AU37" s="469">
        <f t="shared" si="75"/>
        <v>4.8750564494279613</v>
      </c>
      <c r="AV37" s="469">
        <f t="shared" si="65"/>
        <v>-0.60599916845144319</v>
      </c>
      <c r="AW37" s="469">
        <f t="shared" si="65"/>
        <v>0.93975092495317547</v>
      </c>
      <c r="AX37" s="469">
        <f t="shared" si="65"/>
        <v>0.37700282752122227</v>
      </c>
      <c r="AY37" s="336"/>
      <c r="AZ37" s="469">
        <f t="shared" si="76"/>
        <v>-1.4084507042253502</v>
      </c>
      <c r="BA37" s="469">
        <f t="shared" si="66"/>
        <v>3.9047619047618998</v>
      </c>
      <c r="BB37" s="469">
        <f t="shared" si="66"/>
        <v>-1.3748854262144783</v>
      </c>
      <c r="BC37" s="469">
        <f t="shared" si="66"/>
        <v>-0.27881040892192566</v>
      </c>
      <c r="BD37" s="336"/>
      <c r="BE37" s="469">
        <f t="shared" si="77"/>
        <v>8.3876980428704506</v>
      </c>
      <c r="BF37" s="469">
        <f t="shared" si="67"/>
        <v>-0.34393809114359186</v>
      </c>
      <c r="BG37" s="469">
        <f t="shared" si="67"/>
        <v>2.761000862812768</v>
      </c>
      <c r="BH37" s="469">
        <f t="shared" si="67"/>
        <v>1.2594458438287104</v>
      </c>
      <c r="BI37" s="469"/>
      <c r="BJ37" s="469">
        <f t="shared" si="79"/>
        <v>3.1509121061360057</v>
      </c>
      <c r="BK37" s="469">
        <f t="shared" si="68"/>
        <v>1.12540192926045</v>
      </c>
      <c r="BL37" s="469">
        <f t="shared" si="68"/>
        <v>0.47694753577107729</v>
      </c>
      <c r="BM37" s="469">
        <f t="shared" si="68"/>
        <v>0.2373417721518889</v>
      </c>
      <c r="BN37" s="336"/>
      <c r="BO37" s="469">
        <f t="shared" si="78"/>
        <v>-7.8926598263617809E-2</v>
      </c>
      <c r="BP37" s="494">
        <f t="shared" si="69"/>
        <v>0.15797788309637184</v>
      </c>
    </row>
    <row r="38" spans="1:69" ht="14.25" customHeight="1" x14ac:dyDescent="0.2">
      <c r="A38" s="253" t="s">
        <v>105</v>
      </c>
      <c r="O38" s="179"/>
      <c r="P38" s="179"/>
      <c r="AQ38" s="157"/>
      <c r="BQ38" s="836" t="s">
        <v>110</v>
      </c>
    </row>
    <row r="39" spans="1:69" ht="14.25" customHeight="1" x14ac:dyDescent="0.2">
      <c r="A39" s="292" t="s">
        <v>35</v>
      </c>
      <c r="O39" s="179"/>
      <c r="P39" s="179"/>
      <c r="AI39"/>
      <c r="AK39"/>
      <c r="AL39"/>
      <c r="AM39"/>
      <c r="AN39"/>
      <c r="AO39" s="301"/>
      <c r="AP39"/>
      <c r="AQ39"/>
      <c r="BQ39" s="836"/>
    </row>
    <row r="41" spans="1:69" x14ac:dyDescent="0.2">
      <c r="A41" s="235"/>
    </row>
    <row r="42" spans="1:69" x14ac:dyDescent="0.2">
      <c r="A42" s="235"/>
    </row>
    <row r="44" spans="1:69" x14ac:dyDescent="0.2">
      <c r="A44" s="189" t="s">
        <v>106</v>
      </c>
    </row>
    <row r="45" spans="1:69" x14ac:dyDescent="0.2">
      <c r="A45" s="190">
        <f ca="1">NOW()</f>
        <v>45834.501835300929</v>
      </c>
    </row>
    <row r="48" spans="1:69" x14ac:dyDescent="0.2">
      <c r="A48"/>
    </row>
  </sheetData>
  <mergeCells count="9">
    <mergeCell ref="BQ38:BQ39"/>
    <mergeCell ref="A1:BJ1"/>
    <mergeCell ref="AW3:AX3"/>
    <mergeCell ref="AU16:BH16"/>
    <mergeCell ref="AU27:BH27"/>
    <mergeCell ref="AZ3:BC3"/>
    <mergeCell ref="BE3:BH3"/>
    <mergeCell ref="BJ3:BL3"/>
    <mergeCell ref="BO3:BP3"/>
  </mergeCells>
  <phoneticPr fontId="2" type="noConversion"/>
  <printOptions gridLinesSet="0"/>
  <pageMargins left="1.98" right="0.59050000000000002" top="0.57999999999999996" bottom="1.96" header="0.44" footer="0.5"/>
  <pageSetup paperSize="9" scale="97" orientation="landscape" horizontalDpi="4294967292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0" transitionEvaluation="1" codeName="Sheet15"/>
  <dimension ref="A1:Q77"/>
  <sheetViews>
    <sheetView showGridLines="0" workbookViewId="0">
      <pane xSplit="1" ySplit="9" topLeftCell="B10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11" defaultRowHeight="10.199999999999999" outlineLevelRow="1" x14ac:dyDescent="0.2"/>
  <cols>
    <col min="1" max="1" width="8" style="108" customWidth="1"/>
    <col min="2" max="2" width="8.6640625" style="108" customWidth="1"/>
    <col min="3" max="3" width="9" style="108" customWidth="1"/>
    <col min="4" max="4" width="8" style="108" customWidth="1"/>
    <col min="5" max="5" width="7" style="108" customWidth="1"/>
    <col min="6" max="6" width="2" style="108" customWidth="1"/>
    <col min="7" max="7" width="8.6640625" style="108" customWidth="1"/>
    <col min="8" max="8" width="9" style="108" customWidth="1"/>
    <col min="9" max="9" width="8.6640625" style="108" customWidth="1"/>
    <col min="10" max="10" width="8" style="108" customWidth="1"/>
    <col min="11" max="11" width="2" style="108" customWidth="1"/>
    <col min="12" max="13" width="8.6640625" style="108" customWidth="1"/>
    <col min="14" max="14" width="9" style="108" customWidth="1"/>
    <col min="15" max="15" width="8.6640625" style="108" customWidth="1"/>
    <col min="16" max="16384" width="11" style="108"/>
  </cols>
  <sheetData>
    <row r="1" spans="1:17" ht="20.100000000000001" customHeight="1" x14ac:dyDescent="0.2">
      <c r="A1" s="291" t="s">
        <v>68</v>
      </c>
      <c r="O1"/>
    </row>
    <row r="2" spans="1:17" ht="15" customHeight="1" x14ac:dyDescent="0.25">
      <c r="A2" s="109" t="s">
        <v>69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7" ht="18" customHeight="1" x14ac:dyDescent="0.2">
      <c r="A3" s="111" t="s">
        <v>70</v>
      </c>
      <c r="B3" s="112"/>
      <c r="C3" s="112"/>
      <c r="D3" s="112"/>
      <c r="E3" s="112"/>
      <c r="F3" s="112"/>
      <c r="G3" s="110"/>
      <c r="H3" s="112"/>
      <c r="I3" s="112"/>
      <c r="J3" s="112"/>
      <c r="K3" s="112"/>
      <c r="L3" s="112"/>
      <c r="M3" s="112"/>
      <c r="N3" s="112"/>
      <c r="O3" s="112"/>
      <c r="Q3" s="108" t="s">
        <v>2</v>
      </c>
    </row>
    <row r="4" spans="1:17" ht="15" customHeight="1" x14ac:dyDescent="0.2">
      <c r="A4" s="113"/>
      <c r="B4" s="114" t="s">
        <v>71</v>
      </c>
      <c r="C4" s="115"/>
      <c r="D4" s="116"/>
      <c r="E4" s="116"/>
      <c r="F4" s="116"/>
      <c r="G4" s="114" t="s">
        <v>72</v>
      </c>
      <c r="H4" s="116"/>
      <c r="I4" s="116"/>
      <c r="J4" s="114"/>
      <c r="K4" s="116"/>
      <c r="L4" s="116" t="s">
        <v>72</v>
      </c>
      <c r="M4" s="114"/>
      <c r="N4" s="116"/>
      <c r="O4" s="117"/>
      <c r="Q4" s="108" t="s">
        <v>2</v>
      </c>
    </row>
    <row r="5" spans="1:17" ht="15" customHeight="1" x14ac:dyDescent="0.2">
      <c r="A5" s="118" t="s">
        <v>6</v>
      </c>
      <c r="B5" s="119"/>
      <c r="C5" s="120"/>
      <c r="D5" s="121"/>
      <c r="E5" s="121"/>
      <c r="F5" s="121"/>
      <c r="G5" s="119" t="s">
        <v>73</v>
      </c>
      <c r="H5" s="121"/>
      <c r="I5" s="121"/>
      <c r="J5" s="110"/>
      <c r="K5" s="122"/>
      <c r="L5" s="123" t="s">
        <v>74</v>
      </c>
      <c r="M5" s="110"/>
      <c r="N5" s="119"/>
      <c r="O5" s="124"/>
    </row>
    <row r="6" spans="1:17" ht="15" customHeight="1" x14ac:dyDescent="0.2">
      <c r="A6" s="125"/>
      <c r="B6" s="126" t="s">
        <v>75</v>
      </c>
      <c r="C6" s="126" t="s">
        <v>76</v>
      </c>
      <c r="D6" s="126" t="s">
        <v>77</v>
      </c>
      <c r="E6" s="355" t="s">
        <v>78</v>
      </c>
      <c r="F6" s="356"/>
      <c r="G6" s="126" t="s">
        <v>75</v>
      </c>
      <c r="H6" s="126" t="s">
        <v>76</v>
      </c>
      <c r="I6" s="126" t="s">
        <v>77</v>
      </c>
      <c r="J6" s="355" t="s">
        <v>78</v>
      </c>
      <c r="K6" s="356"/>
      <c r="L6" s="126" t="s">
        <v>75</v>
      </c>
      <c r="M6" s="126" t="s">
        <v>76</v>
      </c>
      <c r="N6" s="126" t="s">
        <v>77</v>
      </c>
      <c r="O6" s="127" t="s">
        <v>78</v>
      </c>
    </row>
    <row r="7" spans="1:17" ht="11.1" customHeight="1" x14ac:dyDescent="0.2">
      <c r="A7" s="128"/>
      <c r="B7" s="129" t="s">
        <v>79</v>
      </c>
      <c r="C7" s="129" t="s">
        <v>80</v>
      </c>
      <c r="D7" s="129" t="s">
        <v>81</v>
      </c>
      <c r="E7" s="357" t="s">
        <v>82</v>
      </c>
      <c r="F7" s="357"/>
      <c r="G7" s="129" t="s">
        <v>79</v>
      </c>
      <c r="H7" s="129" t="s">
        <v>80</v>
      </c>
      <c r="I7" s="129" t="s">
        <v>81</v>
      </c>
      <c r="J7" s="357" t="s">
        <v>82</v>
      </c>
      <c r="K7" s="357"/>
      <c r="L7" s="129" t="s">
        <v>79</v>
      </c>
      <c r="M7" s="129" t="s">
        <v>80</v>
      </c>
      <c r="N7" s="129" t="s">
        <v>81</v>
      </c>
      <c r="O7" s="130" t="s">
        <v>82</v>
      </c>
    </row>
    <row r="8" spans="1:17" s="221" customFormat="1" ht="11.1" customHeight="1" x14ac:dyDescent="0.2">
      <c r="A8" s="217"/>
      <c r="B8" s="218"/>
      <c r="C8" s="219" t="s">
        <v>83</v>
      </c>
      <c r="D8" s="218" t="s">
        <v>84</v>
      </c>
      <c r="E8" s="358" t="s">
        <v>85</v>
      </c>
      <c r="F8" s="358"/>
      <c r="G8" s="218"/>
      <c r="H8" s="219" t="s">
        <v>83</v>
      </c>
      <c r="I8" s="218" t="s">
        <v>84</v>
      </c>
      <c r="J8" s="358" t="s">
        <v>85</v>
      </c>
      <c r="K8" s="358"/>
      <c r="L8" s="218"/>
      <c r="M8" s="219" t="s">
        <v>83</v>
      </c>
      <c r="N8" s="218" t="s">
        <v>84</v>
      </c>
      <c r="O8" s="220" t="s">
        <v>85</v>
      </c>
    </row>
    <row r="9" spans="1:17" ht="15" customHeight="1" x14ac:dyDescent="0.2">
      <c r="A9" s="328"/>
      <c r="B9" s="329" t="s">
        <v>86</v>
      </c>
      <c r="C9" s="329" t="s">
        <v>86</v>
      </c>
      <c r="D9" s="329" t="s">
        <v>87</v>
      </c>
      <c r="E9" s="329" t="s">
        <v>88</v>
      </c>
      <c r="F9" s="329"/>
      <c r="G9" s="329" t="s">
        <v>86</v>
      </c>
      <c r="H9" s="329" t="s">
        <v>86</v>
      </c>
      <c r="I9" s="329" t="s">
        <v>87</v>
      </c>
      <c r="J9" s="329" t="s">
        <v>88</v>
      </c>
      <c r="K9" s="329"/>
      <c r="L9" s="329" t="s">
        <v>86</v>
      </c>
      <c r="M9" s="329" t="s">
        <v>86</v>
      </c>
      <c r="N9" s="329" t="s">
        <v>87</v>
      </c>
      <c r="O9" s="330" t="s">
        <v>88</v>
      </c>
    </row>
    <row r="10" spans="1:17" ht="15" hidden="1" customHeight="1" outlineLevel="1" x14ac:dyDescent="0.2">
      <c r="A10" s="118" t="s">
        <v>15</v>
      </c>
      <c r="B10" s="326">
        <f>SUM(B20:B21)+3.763+3.069</f>
        <v>12.431999999999999</v>
      </c>
      <c r="C10" s="327">
        <f>SUM(C20:C21)+0.359+0.337</f>
        <v>1.3129999999999999</v>
      </c>
      <c r="D10" s="142">
        <f>(+D20+D21+1025+976)/4</f>
        <v>968.5</v>
      </c>
      <c r="E10" s="142">
        <f>(SUM(E20:E21)+351+345)/4</f>
        <v>338.75</v>
      </c>
      <c r="F10" s="142"/>
      <c r="G10" s="327">
        <f>SUM(G20:G21)+2.7968+2.0568</f>
        <v>8.4126000000000012</v>
      </c>
      <c r="H10" s="327">
        <f>SUM(H20:H21)+0.145+0.116</f>
        <v>0.49399999999999999</v>
      </c>
      <c r="I10" s="142">
        <f>(422+377+I20+I21)/4</f>
        <v>385.5</v>
      </c>
      <c r="J10" s="142">
        <f>(SUM(J20:J21)+345+309)/4</f>
        <v>319.25</v>
      </c>
      <c r="K10" s="142"/>
      <c r="L10" s="327">
        <f>SUM(L20:L21)+0.148+0.148</f>
        <v>0.58799999999999997</v>
      </c>
      <c r="M10" s="327">
        <f>SUM(M20:M21)+0.033+0.037</f>
        <v>0.14400000000000002</v>
      </c>
      <c r="N10" s="142">
        <f>(139+140+N20+N21)/4</f>
        <v>148.25</v>
      </c>
      <c r="O10" s="144">
        <f>(SUM(O20:O21)+24+265)/4</f>
        <v>191</v>
      </c>
    </row>
    <row r="11" spans="1:17" ht="15" hidden="1" customHeight="1" outlineLevel="1" x14ac:dyDescent="0.2">
      <c r="A11" s="118" t="s">
        <v>16</v>
      </c>
      <c r="B11" s="325">
        <f>SUM(B22:B26)</f>
        <v>11.32</v>
      </c>
      <c r="C11" s="318">
        <f>SUM(C22:C26)</f>
        <v>1.6619999999999999</v>
      </c>
      <c r="D11" s="319">
        <f>AVERAGEA(D22:D26)</f>
        <v>1175.25</v>
      </c>
      <c r="E11" s="319">
        <f>(SUM(E22:E26))/4</f>
        <v>353.25</v>
      </c>
      <c r="F11" s="319"/>
      <c r="G11" s="318">
        <f>SUM(G22:G26)</f>
        <v>6.5640000000000001</v>
      </c>
      <c r="H11" s="318">
        <f>SUM(H22:H26)</f>
        <v>0.59600000000000009</v>
      </c>
      <c r="I11" s="319">
        <f>AVERAGEA(I22:I26)</f>
        <v>485</v>
      </c>
      <c r="J11" s="319">
        <f>(SUM(J22:J26))/4</f>
        <v>308.5</v>
      </c>
      <c r="K11" s="319"/>
      <c r="L11" s="318">
        <f>SUM(L22:L26)</f>
        <v>0.70799999999999985</v>
      </c>
      <c r="M11" s="318">
        <f>SUM(M22:M26)</f>
        <v>0.23799999999999999</v>
      </c>
      <c r="N11" s="319">
        <f>AVERAGEA(N22:N26)</f>
        <v>240.75</v>
      </c>
      <c r="O11" s="134">
        <f>(SUM(O22:O26))/4</f>
        <v>247</v>
      </c>
    </row>
    <row r="12" spans="1:17" ht="15" customHeight="1" collapsed="1" x14ac:dyDescent="0.2">
      <c r="A12" s="118" t="s">
        <v>17</v>
      </c>
      <c r="B12" s="325">
        <f>SUM(B27:B31)</f>
        <v>12.09</v>
      </c>
      <c r="C12" s="318">
        <f>SUM(C27:C31)</f>
        <v>2.0490000000000004</v>
      </c>
      <c r="D12" s="319">
        <f>AVERAGEA(D27:D31)</f>
        <v>1299.75</v>
      </c>
      <c r="E12" s="319">
        <f>(SUM(E27:E31))/4</f>
        <v>376</v>
      </c>
      <c r="F12" s="319"/>
      <c r="G12" s="318">
        <f>SUM(G27:G31)</f>
        <v>6.0869999999999997</v>
      </c>
      <c r="H12" s="318">
        <f>SUM(H27:H31)</f>
        <v>0.64700000000000002</v>
      </c>
      <c r="I12" s="319">
        <f>AVERAGEA(I27:I31)</f>
        <v>459.25</v>
      </c>
      <c r="J12" s="319">
        <f>(SUM(J27:J31))/4</f>
        <v>360</v>
      </c>
      <c r="K12" s="319"/>
      <c r="L12" s="318">
        <f>SUM(L27:L31)</f>
        <v>1.218</v>
      </c>
      <c r="M12" s="318">
        <f>SUM(M27:M31)</f>
        <v>0.36199999999999999</v>
      </c>
      <c r="N12" s="319">
        <f>AVERAGEA(N27:N31)</f>
        <v>330.75</v>
      </c>
      <c r="O12" s="134">
        <f>(SUM(O27:O31))/4</f>
        <v>274.75</v>
      </c>
    </row>
    <row r="13" spans="1:17" ht="11.1" customHeight="1" x14ac:dyDescent="0.2">
      <c r="A13" s="118" t="s">
        <v>18</v>
      </c>
      <c r="B13" s="132">
        <f>SUM(B32:B36)</f>
        <v>14.872</v>
      </c>
      <c r="C13" s="132">
        <f>SUM(C32:C36)</f>
        <v>2.4550000000000001</v>
      </c>
      <c r="D13" s="133">
        <f>AVERAGEA(D32:D36)</f>
        <v>1307.5999999999999</v>
      </c>
      <c r="E13" s="133">
        <f>(SUM(E32:E36))/4</f>
        <v>372.75</v>
      </c>
      <c r="F13" s="133"/>
      <c r="G13" s="132">
        <f>SUM(G32:G36)</f>
        <v>6.5630000000000006</v>
      </c>
      <c r="H13" s="132">
        <f>SUM(H32:H36)</f>
        <v>0.75500000000000012</v>
      </c>
      <c r="I13" s="133">
        <f>AVERAGEA(I32:I36)</f>
        <v>668.25</v>
      </c>
      <c r="J13" s="133">
        <f>(SUM(J32:J36))/4</f>
        <v>296</v>
      </c>
      <c r="K13" s="133"/>
      <c r="L13" s="132">
        <f>SUM(L32:L36)</f>
        <v>1.9619999999999997</v>
      </c>
      <c r="M13" s="132">
        <f>SUM(M32:M36)</f>
        <v>0.60799999999999998</v>
      </c>
      <c r="N13" s="133">
        <f>AVERAGEA(N32:N36)</f>
        <v>444.5</v>
      </c>
      <c r="O13" s="134">
        <f>(SUM(O32:O36))/4</f>
        <v>340</v>
      </c>
    </row>
    <row r="14" spans="1:17" ht="11.1" customHeight="1" x14ac:dyDescent="0.2">
      <c r="A14" s="118" t="s">
        <v>19</v>
      </c>
      <c r="B14" s="132">
        <f>SUM(B37:B41)</f>
        <v>14.363</v>
      </c>
      <c r="C14" s="132">
        <f>SUM(C37:C41)</f>
        <v>2.7270000000000003</v>
      </c>
      <c r="D14" s="133">
        <f>AVERAGEA(D37:D41)</f>
        <v>1289</v>
      </c>
      <c r="E14" s="133">
        <f>(SUM(E37:E41))/4</f>
        <v>523.5</v>
      </c>
      <c r="F14" s="133"/>
      <c r="G14" s="132">
        <f>SUM(G37:G41)</f>
        <v>6.6729999999999992</v>
      </c>
      <c r="H14" s="132">
        <f>SUM(H37:H41)</f>
        <v>0.91100000000000003</v>
      </c>
      <c r="I14" s="133">
        <f>AVERAGEA(I37:I41)</f>
        <v>445.75</v>
      </c>
      <c r="J14" s="133">
        <f>(SUM(J37:J41))/4</f>
        <v>522.5</v>
      </c>
      <c r="K14" s="133"/>
      <c r="L14" s="132">
        <f>SUM(L37:L41)</f>
        <v>2.738</v>
      </c>
      <c r="M14" s="132">
        <f>SUM(M37:M41)</f>
        <v>0.76500000000000001</v>
      </c>
      <c r="N14" s="133">
        <f>AVERAGEA(N37:N41)</f>
        <v>409.75</v>
      </c>
      <c r="O14" s="134">
        <f>(SUM(O37:O41))/4</f>
        <v>467.5</v>
      </c>
    </row>
    <row r="15" spans="1:17" ht="11.1" customHeight="1" x14ac:dyDescent="0.2">
      <c r="A15" s="118" t="s">
        <v>20</v>
      </c>
      <c r="B15" s="132">
        <f>SUM(B42:B46)</f>
        <v>15.59</v>
      </c>
      <c r="C15" s="132">
        <f>SUM(C42:C46)</f>
        <v>2.851</v>
      </c>
      <c r="D15" s="133">
        <f>AVERAGEA(D42:D46)</f>
        <v>1125</v>
      </c>
      <c r="E15" s="133">
        <f>(SUM(E42:E46))/4</f>
        <v>629.25</v>
      </c>
      <c r="F15" s="133"/>
      <c r="G15" s="132">
        <f>SUM(G42:G46)</f>
        <v>6.2860000000000005</v>
      </c>
      <c r="H15" s="132">
        <f>SUM(H42:H46)</f>
        <v>0.78500000000000014</v>
      </c>
      <c r="I15" s="133">
        <f>AVERAGEA(I42:I46)</f>
        <v>303.5</v>
      </c>
      <c r="J15" s="133">
        <f>(SUM(J42:J46))/4</f>
        <v>647</v>
      </c>
      <c r="K15" s="133"/>
      <c r="L15" s="132">
        <f>SUM(L42:L46)</f>
        <v>3.4960000000000004</v>
      </c>
      <c r="M15" s="132">
        <f>SUM(M42:M46)</f>
        <v>0.84299999999999997</v>
      </c>
      <c r="N15" s="133">
        <f>AVERAGEA(N42:N46)</f>
        <v>376</v>
      </c>
      <c r="O15" s="134">
        <f>(SUM(O42:O46))/4</f>
        <v>570.75</v>
      </c>
    </row>
    <row r="16" spans="1:17" ht="11.1" customHeight="1" x14ac:dyDescent="0.2">
      <c r="A16" s="118" t="s">
        <v>21</v>
      </c>
      <c r="B16" s="135">
        <f>SUM(B47:B51)</f>
        <v>15.527999999999999</v>
      </c>
      <c r="C16" s="135">
        <f>SUM(C47:C51)</f>
        <v>2.8619999999999997</v>
      </c>
      <c r="D16" s="133">
        <f>AVERAGEA(D47:D51)</f>
        <v>1132</v>
      </c>
      <c r="E16" s="133">
        <f>(SUM(E47:E51))/4</f>
        <v>627.43502382793167</v>
      </c>
      <c r="F16" s="133"/>
      <c r="G16" s="135">
        <f>SUM(G47:G51)</f>
        <v>6.7510000000000003</v>
      </c>
      <c r="H16" s="135">
        <f>SUM(H47:H51)</f>
        <v>0.90700000000000003</v>
      </c>
      <c r="I16" s="133">
        <f>AVERAGEA(I47:I51)</f>
        <v>328.75</v>
      </c>
      <c r="J16" s="133">
        <f>(SUM(J47:J51))/4</f>
        <v>689.56973982783802</v>
      </c>
      <c r="K16" s="133"/>
      <c r="L16" s="135">
        <f>SUM(L47:L51)</f>
        <v>2.5918999999999999</v>
      </c>
      <c r="M16" s="135">
        <f>SUM(M47:M51)</f>
        <v>0.72620000000000007</v>
      </c>
      <c r="N16" s="133">
        <f>AVERAGEA(N47:N51)</f>
        <v>340.75</v>
      </c>
      <c r="O16" s="134">
        <f>(SUM(O47:O51))/4</f>
        <v>542.48476941101285</v>
      </c>
    </row>
    <row r="17" spans="1:15" ht="11.1" customHeight="1" x14ac:dyDescent="0.2">
      <c r="A17" s="118" t="s">
        <v>22</v>
      </c>
      <c r="B17" s="135">
        <f>SUM(B52:B56)</f>
        <v>17.543683999999999</v>
      </c>
      <c r="C17" s="135">
        <f>SUM(C52:C56)</f>
        <v>3.0389939999999998</v>
      </c>
      <c r="D17" s="133">
        <f>AVERAGEA(D52:D56)</f>
        <v>1064.5</v>
      </c>
      <c r="E17" s="133">
        <f>(SUM(E52:E56))/4</f>
        <v>713.31603567840534</v>
      </c>
      <c r="F17" s="133"/>
      <c r="G17" s="135">
        <f>SUM(G52:G56)</f>
        <v>7.1046499999999995</v>
      </c>
      <c r="H17" s="135">
        <f>SUM(H52:H56)</f>
        <v>1.0250900000000001</v>
      </c>
      <c r="I17" s="133">
        <f>AVERAGEA(I52:I56)</f>
        <v>355.25</v>
      </c>
      <c r="J17" s="133">
        <f>(SUM(J52:J56))/4</f>
        <v>722.38494353507838</v>
      </c>
      <c r="K17" s="133"/>
      <c r="L17" s="135">
        <f>SUM(L52:L56)</f>
        <v>1.7576070000000001</v>
      </c>
      <c r="M17" s="135">
        <f>SUM(M52:M56)</f>
        <v>0.44605</v>
      </c>
      <c r="N17" s="133">
        <f>AVERAGEA(N52:N56)</f>
        <v>224.5</v>
      </c>
      <c r="O17" s="134">
        <f>(SUM(O52:O56))/4</f>
        <v>497.14840735091002</v>
      </c>
    </row>
    <row r="18" spans="1:15" ht="11.1" customHeight="1" x14ac:dyDescent="0.2">
      <c r="A18" s="310" t="s">
        <v>23</v>
      </c>
      <c r="B18" s="135">
        <f>SUM(B57:B61)</f>
        <v>18.138860999999999</v>
      </c>
      <c r="C18" s="135">
        <f>SUM(C57:C61)</f>
        <v>3.2820100000000001</v>
      </c>
      <c r="D18" s="133">
        <f>AVERAGEA(D57:D61)</f>
        <v>1081</v>
      </c>
      <c r="E18" s="133">
        <f>(SUM(E57:E61))/4</f>
        <v>760.63205164591818</v>
      </c>
      <c r="F18" s="133"/>
      <c r="G18" s="135">
        <f>SUM(G57:G61)</f>
        <v>7.1381539999999992</v>
      </c>
      <c r="H18" s="135">
        <f>SUM(H57:H61)</f>
        <v>1.2738610000000001</v>
      </c>
      <c r="I18" s="133">
        <f>AVERAGEA(I57:I61)</f>
        <v>398.5</v>
      </c>
      <c r="J18" s="133">
        <f>(SUM(J57:J61))/4</f>
        <v>806.43141166674673</v>
      </c>
      <c r="K18" s="133"/>
      <c r="L18" s="135">
        <f>SUM(L57:L61)</f>
        <v>2.3077070000000002</v>
      </c>
      <c r="M18" s="135">
        <f>SUM(M57:M61)</f>
        <v>0.41507099999999997</v>
      </c>
      <c r="N18" s="133">
        <f>AVERAGEA(N57:N61)</f>
        <v>211.25</v>
      </c>
      <c r="O18" s="134">
        <f>(SUM(O57:O61))/4</f>
        <v>497.71978015890255</v>
      </c>
    </row>
    <row r="19" spans="1:15" ht="18" hidden="1" customHeight="1" outlineLevel="1" x14ac:dyDescent="0.2">
      <c r="A19" s="136">
        <v>1985</v>
      </c>
      <c r="C19" s="135"/>
      <c r="D19" s="133"/>
      <c r="E19" s="135"/>
      <c r="F19" s="135"/>
      <c r="G19" s="137"/>
      <c r="H19" s="137"/>
      <c r="I19" s="133"/>
      <c r="J19" s="133"/>
      <c r="K19" s="133"/>
      <c r="L19" s="137"/>
      <c r="M19" s="137"/>
      <c r="N19" s="133"/>
      <c r="O19" s="134"/>
    </row>
    <row r="20" spans="1:15" ht="12.9" hidden="1" customHeight="1" outlineLevel="1" x14ac:dyDescent="0.2">
      <c r="A20" s="138" t="s">
        <v>27</v>
      </c>
      <c r="B20" s="135">
        <v>2.71</v>
      </c>
      <c r="C20" s="135">
        <v>0.32700000000000001</v>
      </c>
      <c r="D20" s="133">
        <v>940</v>
      </c>
      <c r="E20" s="133">
        <f>0.348*1000</f>
        <v>348</v>
      </c>
      <c r="F20" s="133"/>
      <c r="G20" s="132">
        <v>1.766</v>
      </c>
      <c r="H20" s="132">
        <v>0.13900000000000001</v>
      </c>
      <c r="I20" s="133">
        <v>386</v>
      </c>
      <c r="J20" s="133">
        <f>0.359*1000</f>
        <v>359</v>
      </c>
      <c r="K20" s="133"/>
      <c r="L20" s="132">
        <v>0.14199999999999999</v>
      </c>
      <c r="M20" s="132">
        <v>3.5000000000000003E-2</v>
      </c>
      <c r="N20" s="133">
        <v>145</v>
      </c>
      <c r="O20" s="134">
        <f>0.241*1000</f>
        <v>241</v>
      </c>
    </row>
    <row r="21" spans="1:15" ht="12.9" hidden="1" customHeight="1" outlineLevel="1" x14ac:dyDescent="0.2">
      <c r="A21" s="138" t="s">
        <v>28</v>
      </c>
      <c r="B21" s="135">
        <v>2.89</v>
      </c>
      <c r="C21" s="135">
        <v>0.28999999999999998</v>
      </c>
      <c r="D21" s="133">
        <v>933</v>
      </c>
      <c r="E21" s="133">
        <f>0.311*1000</f>
        <v>311</v>
      </c>
      <c r="F21" s="133"/>
      <c r="G21" s="132">
        <v>1.7929999999999999</v>
      </c>
      <c r="H21" s="132">
        <v>9.4E-2</v>
      </c>
      <c r="I21" s="133">
        <v>357</v>
      </c>
      <c r="J21" s="133">
        <f>0.264*1000</f>
        <v>264</v>
      </c>
      <c r="K21" s="133"/>
      <c r="L21" s="132">
        <v>0.15</v>
      </c>
      <c r="M21" s="132">
        <v>3.9E-2</v>
      </c>
      <c r="N21" s="133">
        <v>169</v>
      </c>
      <c r="O21" s="134">
        <f>0.234*1000</f>
        <v>234</v>
      </c>
    </row>
    <row r="22" spans="1:15" ht="12.9" hidden="1" customHeight="1" outlineLevel="1" x14ac:dyDescent="0.2">
      <c r="A22" s="138" t="s">
        <v>29</v>
      </c>
      <c r="B22" s="135">
        <v>3.03</v>
      </c>
      <c r="C22" s="135">
        <v>0.34699999999999998</v>
      </c>
      <c r="D22" s="133">
        <v>992</v>
      </c>
      <c r="E22" s="133">
        <f>0.35*1000</f>
        <v>350</v>
      </c>
      <c r="F22" s="133"/>
      <c r="G22" s="132">
        <v>1.911</v>
      </c>
      <c r="H22" s="132">
        <v>0.13100000000000001</v>
      </c>
      <c r="I22" s="133">
        <v>393</v>
      </c>
      <c r="J22" s="133">
        <f>0.333*1000</f>
        <v>333</v>
      </c>
      <c r="K22" s="133"/>
      <c r="L22" s="132">
        <v>0.15</v>
      </c>
      <c r="M22" s="132">
        <v>4.2000000000000003E-2</v>
      </c>
      <c r="N22" s="133">
        <v>186</v>
      </c>
      <c r="O22" s="134">
        <f>0.228*1000</f>
        <v>228</v>
      </c>
    </row>
    <row r="23" spans="1:15" ht="12.9" hidden="1" customHeight="1" outlineLevel="1" x14ac:dyDescent="0.2">
      <c r="A23" s="138" t="s">
        <v>30</v>
      </c>
      <c r="B23" s="135">
        <v>2.5099999999999998</v>
      </c>
      <c r="C23" s="135">
        <v>0.435</v>
      </c>
      <c r="D23" s="133">
        <v>1214</v>
      </c>
      <c r="E23" s="133">
        <f>0.358*1000</f>
        <v>358</v>
      </c>
      <c r="F23" s="133"/>
      <c r="G23" s="132">
        <v>1.3640000000000001</v>
      </c>
      <c r="H23" s="132">
        <v>0.155</v>
      </c>
      <c r="I23" s="133">
        <v>514</v>
      </c>
      <c r="J23" s="133">
        <f>0.302*1000</f>
        <v>302</v>
      </c>
      <c r="K23" s="133"/>
      <c r="L23" s="132">
        <v>0.17699999999999999</v>
      </c>
      <c r="M23" s="132">
        <v>6.2E-2</v>
      </c>
      <c r="N23" s="133">
        <v>238</v>
      </c>
      <c r="O23" s="134">
        <f>0.261*1000</f>
        <v>261</v>
      </c>
    </row>
    <row r="24" spans="1:15" ht="18" hidden="1" customHeight="1" outlineLevel="1" x14ac:dyDescent="0.2">
      <c r="A24" s="139">
        <v>1986</v>
      </c>
      <c r="C24" s="135"/>
      <c r="D24" s="133"/>
      <c r="E24" s="133"/>
      <c r="F24" s="133"/>
      <c r="G24" s="137"/>
      <c r="H24" s="137"/>
      <c r="I24" s="133"/>
      <c r="J24" s="133"/>
      <c r="K24" s="133"/>
      <c r="L24" s="137"/>
      <c r="M24" s="137"/>
      <c r="N24" s="133"/>
      <c r="O24" s="134"/>
    </row>
    <row r="25" spans="1:15" ht="12.9" hidden="1" customHeight="1" outlineLevel="1" x14ac:dyDescent="0.2">
      <c r="A25" s="138" t="s">
        <v>27</v>
      </c>
      <c r="B25" s="135">
        <v>2.62</v>
      </c>
      <c r="C25" s="135">
        <v>0.42799999999999999</v>
      </c>
      <c r="D25" s="133">
        <v>1247</v>
      </c>
      <c r="E25" s="133">
        <f>0.343*1000</f>
        <v>343</v>
      </c>
      <c r="F25" s="133"/>
      <c r="G25" s="132">
        <v>1.518</v>
      </c>
      <c r="H25" s="132">
        <v>0.14799999999999999</v>
      </c>
      <c r="I25" s="133">
        <v>508</v>
      </c>
      <c r="J25" s="133">
        <f>0.292*1000</f>
        <v>292</v>
      </c>
      <c r="K25" s="133"/>
      <c r="L25" s="132">
        <v>0.17399999999999999</v>
      </c>
      <c r="M25" s="132">
        <v>6.2E-2</v>
      </c>
      <c r="N25" s="133">
        <v>256</v>
      </c>
      <c r="O25" s="134">
        <f>0.243*1000</f>
        <v>243</v>
      </c>
    </row>
    <row r="26" spans="1:15" ht="12.9" hidden="1" customHeight="1" outlineLevel="1" x14ac:dyDescent="0.2">
      <c r="A26" s="138" t="s">
        <v>28</v>
      </c>
      <c r="B26" s="135">
        <v>3.16</v>
      </c>
      <c r="C26" s="135">
        <v>0.45200000000000001</v>
      </c>
      <c r="D26" s="133">
        <v>1248</v>
      </c>
      <c r="E26" s="133">
        <f>0.362*1000</f>
        <v>362</v>
      </c>
      <c r="F26" s="133"/>
      <c r="G26" s="132">
        <v>1.7709999999999999</v>
      </c>
      <c r="H26" s="132">
        <v>0.16200000000000001</v>
      </c>
      <c r="I26" s="133">
        <v>525</v>
      </c>
      <c r="J26" s="133">
        <f>0.307*1000</f>
        <v>307</v>
      </c>
      <c r="K26" s="133"/>
      <c r="L26" s="132">
        <v>0.20699999999999999</v>
      </c>
      <c r="M26" s="132">
        <v>7.1999999999999995E-2</v>
      </c>
      <c r="N26" s="133">
        <v>283</v>
      </c>
      <c r="O26" s="134">
        <f>0.256*1000</f>
        <v>256</v>
      </c>
    </row>
    <row r="27" spans="1:15" ht="12.9" hidden="1" customHeight="1" outlineLevel="1" x14ac:dyDescent="0.2">
      <c r="A27" s="138" t="s">
        <v>29</v>
      </c>
      <c r="B27" s="135">
        <v>3.2</v>
      </c>
      <c r="C27" s="135">
        <v>0.496</v>
      </c>
      <c r="D27" s="133">
        <v>1224</v>
      </c>
      <c r="E27" s="133">
        <f>0.405*1000</f>
        <v>405</v>
      </c>
      <c r="F27" s="133"/>
      <c r="G27" s="132">
        <v>1.7569999999999999</v>
      </c>
      <c r="H27" s="132">
        <v>0.17499999999999999</v>
      </c>
      <c r="I27" s="133">
        <v>475</v>
      </c>
      <c r="J27" s="133">
        <f>0.367*1000</f>
        <v>367</v>
      </c>
      <c r="K27" s="133"/>
      <c r="L27" s="132">
        <v>0.28399999999999997</v>
      </c>
      <c r="M27" s="132">
        <v>8.1000000000000003E-2</v>
      </c>
      <c r="N27" s="133">
        <v>306</v>
      </c>
      <c r="O27" s="134">
        <f>0.266*1000</f>
        <v>266</v>
      </c>
    </row>
    <row r="28" spans="1:15" ht="12.9" hidden="1" customHeight="1" outlineLevel="1" x14ac:dyDescent="0.2">
      <c r="A28" s="138" t="s">
        <v>30</v>
      </c>
      <c r="B28" s="135">
        <v>3.11</v>
      </c>
      <c r="C28" s="135">
        <v>0.51100000000000001</v>
      </c>
      <c r="D28" s="133">
        <v>1214</v>
      </c>
      <c r="E28" s="133">
        <f>0.421*1000</f>
        <v>421</v>
      </c>
      <c r="F28" s="133"/>
      <c r="G28" s="132">
        <v>1.6040000000000001</v>
      </c>
      <c r="H28" s="132">
        <v>0.17299999999999999</v>
      </c>
      <c r="I28" s="133">
        <v>456</v>
      </c>
      <c r="J28" s="133">
        <f>0.379*1000</f>
        <v>379</v>
      </c>
      <c r="K28" s="133"/>
      <c r="L28" s="132">
        <v>0.28299999999999997</v>
      </c>
      <c r="M28" s="132">
        <v>8.5999999999999993E-2</v>
      </c>
      <c r="N28" s="133">
        <v>316</v>
      </c>
      <c r="O28" s="134">
        <f>0.273*1000</f>
        <v>273</v>
      </c>
    </row>
    <row r="29" spans="1:15" ht="18" hidden="1" customHeight="1" outlineLevel="1" x14ac:dyDescent="0.2">
      <c r="A29" s="136">
        <v>1987</v>
      </c>
      <c r="C29" s="135"/>
      <c r="D29" s="133"/>
      <c r="E29" s="133"/>
      <c r="F29" s="133"/>
      <c r="G29" s="137"/>
      <c r="H29" s="137"/>
      <c r="I29" s="133"/>
      <c r="J29" s="133"/>
      <c r="K29" s="133"/>
      <c r="L29" s="137"/>
      <c r="M29" s="137"/>
      <c r="N29" s="133"/>
      <c r="O29" s="134"/>
    </row>
    <row r="30" spans="1:15" ht="12.9" hidden="1" customHeight="1" outlineLevel="1" x14ac:dyDescent="0.2">
      <c r="A30" s="138" t="s">
        <v>27</v>
      </c>
      <c r="B30" s="135">
        <v>2.96</v>
      </c>
      <c r="C30" s="135">
        <v>0.495</v>
      </c>
      <c r="D30" s="133">
        <v>1441</v>
      </c>
      <c r="E30" s="133">
        <f>0.339*1000</f>
        <v>339</v>
      </c>
      <c r="F30" s="133"/>
      <c r="G30" s="132">
        <v>1.44</v>
      </c>
      <c r="H30" s="132">
        <v>0.13300000000000001</v>
      </c>
      <c r="I30" s="133">
        <v>531</v>
      </c>
      <c r="J30" s="133">
        <f>0.251*1000</f>
        <v>251</v>
      </c>
      <c r="K30" s="133"/>
      <c r="L30" s="132">
        <v>0.30099999999999999</v>
      </c>
      <c r="M30" s="132">
        <v>0.09</v>
      </c>
      <c r="N30" s="133">
        <v>326</v>
      </c>
      <c r="O30" s="134">
        <f>0.278*1000</f>
        <v>278</v>
      </c>
    </row>
    <row r="31" spans="1:15" ht="12.9" hidden="1" customHeight="1" outlineLevel="1" x14ac:dyDescent="0.2">
      <c r="A31" s="138" t="s">
        <v>28</v>
      </c>
      <c r="B31" s="135">
        <v>2.82</v>
      </c>
      <c r="C31" s="135">
        <v>0.54700000000000004</v>
      </c>
      <c r="D31" s="133">
        <v>1320</v>
      </c>
      <c r="E31" s="133">
        <f>0.339*1000</f>
        <v>339</v>
      </c>
      <c r="F31" s="133"/>
      <c r="G31" s="132">
        <v>1.286</v>
      </c>
      <c r="H31" s="132">
        <v>0.16600000000000001</v>
      </c>
      <c r="I31" s="133">
        <v>375</v>
      </c>
      <c r="J31" s="133">
        <f>0.443*1000</f>
        <v>443</v>
      </c>
      <c r="K31" s="133"/>
      <c r="L31" s="132">
        <v>0.35</v>
      </c>
      <c r="M31" s="132">
        <v>0.105</v>
      </c>
      <c r="N31" s="133">
        <v>375</v>
      </c>
      <c r="O31" s="134">
        <f>0.282*1000</f>
        <v>282</v>
      </c>
    </row>
    <row r="32" spans="1:15" ht="12.9" hidden="1" customHeight="1" outlineLevel="1" x14ac:dyDescent="0.2">
      <c r="A32" s="138" t="s">
        <v>29</v>
      </c>
      <c r="B32" s="135">
        <v>3.96</v>
      </c>
      <c r="C32" s="135">
        <v>0.58799999999999997</v>
      </c>
      <c r="D32" s="133">
        <v>1661</v>
      </c>
      <c r="E32" s="133">
        <f>0.349*1000</f>
        <v>349</v>
      </c>
      <c r="F32" s="133"/>
      <c r="G32" s="132">
        <v>1.6020000000000001</v>
      </c>
      <c r="H32" s="132">
        <v>0.17299999999999999</v>
      </c>
      <c r="I32" s="133">
        <v>696</v>
      </c>
      <c r="J32" s="133">
        <f>0.248*1000</f>
        <v>248</v>
      </c>
      <c r="K32" s="133"/>
      <c r="L32" s="132">
        <v>0.53100000000000003</v>
      </c>
      <c r="M32" s="132">
        <v>0.11899999999999999</v>
      </c>
      <c r="N32" s="133">
        <v>426</v>
      </c>
      <c r="O32" s="134">
        <f>0.281*1000</f>
        <v>281</v>
      </c>
    </row>
    <row r="33" spans="1:15" ht="12.9" hidden="1" customHeight="1" outlineLevel="1" x14ac:dyDescent="0.2">
      <c r="A33" s="138" t="s">
        <v>30</v>
      </c>
      <c r="B33" s="135">
        <v>4.28</v>
      </c>
      <c r="C33" s="135">
        <v>0.64500000000000002</v>
      </c>
      <c r="D33" s="133">
        <v>1760</v>
      </c>
      <c r="E33" s="133">
        <f>0.363*1000</f>
        <v>363</v>
      </c>
      <c r="F33" s="133"/>
      <c r="G33" s="132">
        <v>1.9359999999999999</v>
      </c>
      <c r="H33" s="132">
        <v>0.20499999999999999</v>
      </c>
      <c r="I33" s="133">
        <v>733</v>
      </c>
      <c r="J33" s="133">
        <f>0.279*1000</f>
        <v>279</v>
      </c>
      <c r="K33" s="133"/>
      <c r="L33" s="132">
        <v>0.34799999999999998</v>
      </c>
      <c r="M33" s="132">
        <v>0.121</v>
      </c>
      <c r="N33" s="133">
        <v>429</v>
      </c>
      <c r="O33" s="134">
        <f>0.282*1000</f>
        <v>282</v>
      </c>
    </row>
    <row r="34" spans="1:15" ht="15" customHeight="1" collapsed="1" x14ac:dyDescent="0.2">
      <c r="A34" s="140" t="s">
        <v>31</v>
      </c>
      <c r="B34" s="141"/>
      <c r="C34" s="141"/>
      <c r="D34" s="142" t="s">
        <v>2</v>
      </c>
      <c r="E34" s="142"/>
      <c r="F34" s="142"/>
      <c r="G34" s="143"/>
      <c r="H34" s="143"/>
      <c r="I34" s="142"/>
      <c r="J34" s="142"/>
      <c r="K34" s="142"/>
      <c r="L34" s="143"/>
      <c r="M34" s="143"/>
      <c r="N34" s="142"/>
      <c r="O34" s="144"/>
    </row>
    <row r="35" spans="1:15" ht="11.1" customHeight="1" x14ac:dyDescent="0.2">
      <c r="A35" s="138" t="s">
        <v>27</v>
      </c>
      <c r="B35" s="135">
        <v>3.0310000000000001</v>
      </c>
      <c r="C35" s="135">
        <v>0.60299999999999998</v>
      </c>
      <c r="D35" s="133">
        <v>1731</v>
      </c>
      <c r="E35" s="133">
        <f>0.345*1000</f>
        <v>345</v>
      </c>
      <c r="F35" s="133"/>
      <c r="G35" s="132">
        <v>1.3260000000000001</v>
      </c>
      <c r="H35" s="132">
        <v>0.186</v>
      </c>
      <c r="I35" s="133">
        <v>789</v>
      </c>
      <c r="J35" s="133">
        <f>0.236*1000</f>
        <v>236</v>
      </c>
      <c r="K35" s="133"/>
      <c r="L35" s="132">
        <v>0.47699999999999998</v>
      </c>
      <c r="M35" s="132">
        <v>0.17699999999999999</v>
      </c>
      <c r="N35" s="133">
        <v>462</v>
      </c>
      <c r="O35" s="134">
        <f>0.383*1000</f>
        <v>383</v>
      </c>
    </row>
    <row r="36" spans="1:15" ht="11.1" customHeight="1" x14ac:dyDescent="0.2">
      <c r="A36" s="138" t="s">
        <v>28</v>
      </c>
      <c r="B36" s="135">
        <v>3.601</v>
      </c>
      <c r="C36" s="135">
        <v>0.61899999999999999</v>
      </c>
      <c r="D36" s="133">
        <v>1386</v>
      </c>
      <c r="E36" s="133">
        <f>0.434*1000</f>
        <v>434</v>
      </c>
      <c r="F36" s="133"/>
      <c r="G36" s="132">
        <v>1.6990000000000001</v>
      </c>
      <c r="H36" s="132">
        <v>0.191</v>
      </c>
      <c r="I36" s="133">
        <v>455</v>
      </c>
      <c r="J36" s="133">
        <f>0.421*1000</f>
        <v>421</v>
      </c>
      <c r="K36" s="133"/>
      <c r="L36" s="132">
        <v>0.60599999999999998</v>
      </c>
      <c r="M36" s="132">
        <v>0.191</v>
      </c>
      <c r="N36" s="133">
        <v>461</v>
      </c>
      <c r="O36" s="134">
        <f>0.414*1000</f>
        <v>414</v>
      </c>
    </row>
    <row r="37" spans="1:15" ht="11.1" customHeight="1" x14ac:dyDescent="0.2">
      <c r="A37" s="138" t="s">
        <v>29</v>
      </c>
      <c r="B37" s="135">
        <v>3.399</v>
      </c>
      <c r="C37" s="135">
        <v>0.80100000000000005</v>
      </c>
      <c r="D37" s="133">
        <v>1346</v>
      </c>
      <c r="E37" s="133">
        <f>0.569*1000</f>
        <v>569</v>
      </c>
      <c r="F37" s="133"/>
      <c r="G37" s="132">
        <v>1.6359999999999999</v>
      </c>
      <c r="H37" s="132">
        <v>0.28199999999999997</v>
      </c>
      <c r="I37" s="133">
        <v>483</v>
      </c>
      <c r="J37" s="133">
        <f>0.583*1000</f>
        <v>583</v>
      </c>
      <c r="K37" s="133"/>
      <c r="L37" s="132">
        <v>0.72099999999999997</v>
      </c>
      <c r="M37" s="132">
        <v>0.219</v>
      </c>
      <c r="N37" s="133">
        <v>460</v>
      </c>
      <c r="O37" s="134">
        <f>0.476*1000</f>
        <v>476</v>
      </c>
    </row>
    <row r="38" spans="1:15" ht="11.1" customHeight="1" x14ac:dyDescent="0.2">
      <c r="A38" s="138" t="s">
        <v>30</v>
      </c>
      <c r="B38" s="135">
        <v>3.4969999999999999</v>
      </c>
      <c r="C38" s="135">
        <v>0.61899999999999999</v>
      </c>
      <c r="D38" s="133">
        <v>1377</v>
      </c>
      <c r="E38" s="133">
        <f>0.441*1000</f>
        <v>441</v>
      </c>
      <c r="F38" s="133"/>
      <c r="G38" s="132">
        <v>1.7509999999999999</v>
      </c>
      <c r="H38" s="132">
        <v>0.20699999999999999</v>
      </c>
      <c r="I38" s="133">
        <v>501</v>
      </c>
      <c r="J38" s="133">
        <f>0.414*1000</f>
        <v>414</v>
      </c>
      <c r="K38" s="133"/>
      <c r="L38" s="132">
        <v>0.60899999999999999</v>
      </c>
      <c r="M38" s="132">
        <v>0.18</v>
      </c>
      <c r="N38" s="133">
        <v>429</v>
      </c>
      <c r="O38" s="134">
        <f>0.42*1000</f>
        <v>420</v>
      </c>
    </row>
    <row r="39" spans="1:15" ht="15" customHeight="1" x14ac:dyDescent="0.2">
      <c r="A39" s="118" t="s">
        <v>32</v>
      </c>
      <c r="B39" s="145"/>
      <c r="C39" s="145"/>
      <c r="D39" s="146"/>
      <c r="E39" s="146"/>
      <c r="F39" s="146"/>
      <c r="I39" s="146"/>
      <c r="J39" s="146"/>
      <c r="K39" s="146"/>
      <c r="N39" s="146"/>
      <c r="O39" s="144"/>
    </row>
    <row r="40" spans="1:15" ht="11.1" customHeight="1" x14ac:dyDescent="0.2">
      <c r="A40" s="138" t="s">
        <v>27</v>
      </c>
      <c r="B40" s="135">
        <v>3.4790000000000001</v>
      </c>
      <c r="C40" s="135">
        <v>0.63100000000000001</v>
      </c>
      <c r="D40" s="133">
        <v>1312</v>
      </c>
      <c r="E40" s="133">
        <f>0.481*1000</f>
        <v>481</v>
      </c>
      <c r="F40" s="133"/>
      <c r="G40" s="132">
        <v>1.6140000000000001</v>
      </c>
      <c r="H40" s="132">
        <v>0.23200000000000001</v>
      </c>
      <c r="I40" s="133">
        <v>496</v>
      </c>
      <c r="J40" s="133">
        <f>0.466*1000</f>
        <v>466</v>
      </c>
      <c r="K40" s="133"/>
      <c r="L40" s="132">
        <v>0.59399999999999997</v>
      </c>
      <c r="M40" s="132">
        <v>0.155</v>
      </c>
      <c r="N40" s="133">
        <v>368</v>
      </c>
      <c r="O40" s="134">
        <f>0.422*1000</f>
        <v>422</v>
      </c>
    </row>
    <row r="41" spans="1:15" ht="11.1" customHeight="1" x14ac:dyDescent="0.2">
      <c r="A41" s="138" t="s">
        <v>28</v>
      </c>
      <c r="B41" s="135">
        <v>3.988</v>
      </c>
      <c r="C41" s="135">
        <v>0.67600000000000005</v>
      </c>
      <c r="D41" s="133">
        <v>1121</v>
      </c>
      <c r="E41" s="133">
        <f>0.603*1000</f>
        <v>603</v>
      </c>
      <c r="F41" s="133"/>
      <c r="G41" s="132">
        <v>1.6719999999999999</v>
      </c>
      <c r="H41" s="132">
        <v>0.19</v>
      </c>
      <c r="I41" s="133">
        <v>303</v>
      </c>
      <c r="J41" s="133">
        <f>0.627*1000</f>
        <v>627</v>
      </c>
      <c r="K41" s="133"/>
      <c r="L41" s="132">
        <v>0.81399999999999995</v>
      </c>
      <c r="M41" s="132">
        <v>0.21099999999999999</v>
      </c>
      <c r="N41" s="133">
        <v>382</v>
      </c>
      <c r="O41" s="134">
        <f>0.552*1000</f>
        <v>552</v>
      </c>
    </row>
    <row r="42" spans="1:15" ht="11.1" customHeight="1" x14ac:dyDescent="0.2">
      <c r="A42" s="138" t="s">
        <v>29</v>
      </c>
      <c r="B42" s="135">
        <v>3.8769999999999998</v>
      </c>
      <c r="C42" s="135">
        <v>0.68600000000000005</v>
      </c>
      <c r="D42" s="133">
        <v>1088</v>
      </c>
      <c r="E42" s="133">
        <f>0.631*1000</f>
        <v>631</v>
      </c>
      <c r="F42" s="133"/>
      <c r="G42" s="132">
        <v>1.5589999999999999</v>
      </c>
      <c r="H42" s="132">
        <v>0.20799999999999999</v>
      </c>
      <c r="I42" s="133">
        <v>301</v>
      </c>
      <c r="J42" s="133">
        <f>0.693*1000</f>
        <v>693</v>
      </c>
      <c r="K42" s="133"/>
      <c r="L42" s="132">
        <v>0.85299999999999998</v>
      </c>
      <c r="M42" s="132">
        <v>0.186</v>
      </c>
      <c r="N42" s="133">
        <v>339</v>
      </c>
      <c r="O42" s="134">
        <f>0.549*1000</f>
        <v>549</v>
      </c>
    </row>
    <row r="43" spans="1:15" ht="11.1" customHeight="1" x14ac:dyDescent="0.2">
      <c r="A43" s="138" t="s">
        <v>30</v>
      </c>
      <c r="B43" s="135">
        <v>4.1029999999999998</v>
      </c>
      <c r="C43" s="135">
        <v>0.72799999999999998</v>
      </c>
      <c r="D43" s="133">
        <v>1051</v>
      </c>
      <c r="E43" s="133">
        <f>0.693*1000</f>
        <v>693</v>
      </c>
      <c r="F43" s="133"/>
      <c r="G43" s="132">
        <v>1.718</v>
      </c>
      <c r="H43" s="132">
        <v>0.19500000000000001</v>
      </c>
      <c r="I43" s="133">
        <v>310</v>
      </c>
      <c r="J43" s="133">
        <f>0.629*1000</f>
        <v>629</v>
      </c>
      <c r="K43" s="133"/>
      <c r="L43" s="132">
        <v>0.93200000000000005</v>
      </c>
      <c r="M43" s="132">
        <v>0.254</v>
      </c>
      <c r="N43" s="133">
        <v>330</v>
      </c>
      <c r="O43" s="134">
        <f>0.77*1000</f>
        <v>770</v>
      </c>
    </row>
    <row r="44" spans="1:15" ht="15" customHeight="1" x14ac:dyDescent="0.2">
      <c r="A44" s="118" t="s">
        <v>33</v>
      </c>
      <c r="B44" s="135"/>
      <c r="C44" s="135"/>
      <c r="D44" s="133"/>
      <c r="E44" s="133"/>
      <c r="F44" s="133"/>
      <c r="G44" s="137"/>
      <c r="H44" s="137"/>
      <c r="I44" s="133"/>
      <c r="J44" s="133"/>
      <c r="K44" s="133"/>
      <c r="L44" s="137"/>
      <c r="M44" s="137"/>
      <c r="N44" s="133"/>
      <c r="O44" s="134"/>
    </row>
    <row r="45" spans="1:15" ht="11.1" customHeight="1" x14ac:dyDescent="0.2">
      <c r="A45" s="138" t="s">
        <v>27</v>
      </c>
      <c r="B45" s="135">
        <v>3.72</v>
      </c>
      <c r="C45" s="135">
        <v>0.71</v>
      </c>
      <c r="D45" s="133">
        <v>1176</v>
      </c>
      <c r="E45" s="133">
        <f>0.589*1000</f>
        <v>589</v>
      </c>
      <c r="F45" s="133"/>
      <c r="G45" s="132">
        <v>1.4590000000000001</v>
      </c>
      <c r="H45" s="132">
        <v>0.19700000000000001</v>
      </c>
      <c r="I45" s="133">
        <v>307</v>
      </c>
      <c r="J45" s="133">
        <f>0.641*1000</f>
        <v>641</v>
      </c>
      <c r="K45" s="133"/>
      <c r="L45" s="132">
        <v>0.77300000000000002</v>
      </c>
      <c r="M45" s="132">
        <v>0.188</v>
      </c>
      <c r="N45" s="133">
        <v>413</v>
      </c>
      <c r="O45" s="134">
        <f>0.455*1000</f>
        <v>455</v>
      </c>
    </row>
    <row r="46" spans="1:15" ht="11.1" customHeight="1" x14ac:dyDescent="0.2">
      <c r="A46" s="138" t="s">
        <v>28</v>
      </c>
      <c r="B46" s="135">
        <v>3.89</v>
      </c>
      <c r="C46" s="135">
        <v>0.72699999999999998</v>
      </c>
      <c r="D46" s="133">
        <v>1185</v>
      </c>
      <c r="E46" s="133">
        <f>0.604*1000</f>
        <v>604</v>
      </c>
      <c r="F46" s="133"/>
      <c r="G46" s="132">
        <v>1.55</v>
      </c>
      <c r="H46" s="132">
        <v>0.185</v>
      </c>
      <c r="I46" s="133">
        <v>296</v>
      </c>
      <c r="J46" s="133">
        <f>0.625*1000</f>
        <v>625</v>
      </c>
      <c r="K46" s="133"/>
      <c r="L46" s="132">
        <v>0.93799999999999994</v>
      </c>
      <c r="M46" s="132">
        <v>0.215</v>
      </c>
      <c r="N46" s="133">
        <v>422</v>
      </c>
      <c r="O46" s="134">
        <f>0.509*1000</f>
        <v>509</v>
      </c>
    </row>
    <row r="47" spans="1:15" ht="11.1" customHeight="1" x14ac:dyDescent="0.2">
      <c r="A47" s="138" t="s">
        <v>29</v>
      </c>
      <c r="B47" s="135">
        <v>4.0199999999999996</v>
      </c>
      <c r="C47" s="135">
        <v>0.71</v>
      </c>
      <c r="D47" s="133">
        <v>1153</v>
      </c>
      <c r="E47" s="133">
        <f>0.605*1000</f>
        <v>605</v>
      </c>
      <c r="F47" s="133"/>
      <c r="G47" s="132">
        <v>1.504</v>
      </c>
      <c r="H47" s="132">
        <v>0.22500000000000001</v>
      </c>
      <c r="I47" s="133">
        <v>326</v>
      </c>
      <c r="J47" s="133">
        <f>0.69*1000</f>
        <v>690</v>
      </c>
      <c r="K47" s="133"/>
      <c r="L47" s="132">
        <v>0.95</v>
      </c>
      <c r="M47" s="132">
        <v>0.20599999999999999</v>
      </c>
      <c r="N47" s="133">
        <v>394</v>
      </c>
      <c r="O47" s="134">
        <f>0.522*1000</f>
        <v>522</v>
      </c>
    </row>
    <row r="48" spans="1:15" ht="11.1" customHeight="1" x14ac:dyDescent="0.2">
      <c r="A48" s="138" t="s">
        <v>30</v>
      </c>
      <c r="B48" s="135">
        <v>3.69</v>
      </c>
      <c r="C48" s="135">
        <v>0.71099999999999997</v>
      </c>
      <c r="D48" s="133">
        <v>1177</v>
      </c>
      <c r="E48" s="133">
        <f>0.594*1000</f>
        <v>594</v>
      </c>
      <c r="F48" s="133"/>
      <c r="G48" s="132">
        <v>1.736</v>
      </c>
      <c r="H48" s="132">
        <v>0.22500000000000001</v>
      </c>
      <c r="I48" s="133">
        <v>329</v>
      </c>
      <c r="J48" s="133">
        <f>0.683*1000</f>
        <v>683</v>
      </c>
      <c r="K48" s="133"/>
      <c r="L48" s="132">
        <v>0.628</v>
      </c>
      <c r="M48" s="132">
        <v>0.19600000000000001</v>
      </c>
      <c r="N48" s="133">
        <v>412</v>
      </c>
      <c r="O48" s="134">
        <v>475</v>
      </c>
    </row>
    <row r="49" spans="1:15" ht="15" customHeight="1" x14ac:dyDescent="0.2">
      <c r="A49" s="118" t="s">
        <v>34</v>
      </c>
      <c r="B49" s="145"/>
      <c r="C49" s="145"/>
      <c r="D49" s="146"/>
      <c r="E49" s="146"/>
      <c r="F49" s="146"/>
      <c r="J49" s="146"/>
      <c r="K49" s="146"/>
      <c r="N49" s="146"/>
      <c r="O49" s="144"/>
    </row>
    <row r="50" spans="1:15" ht="11.1" customHeight="1" x14ac:dyDescent="0.2">
      <c r="A50" s="138" t="s">
        <v>27</v>
      </c>
      <c r="B50" s="135">
        <v>3.6480000000000001</v>
      </c>
      <c r="C50" s="135">
        <v>0.69099999999999995</v>
      </c>
      <c r="D50" s="133">
        <v>1067</v>
      </c>
      <c r="E50" s="133">
        <f>(C50*1000000)/D50</f>
        <v>647.61012183692594</v>
      </c>
      <c r="F50" s="133"/>
      <c r="G50" s="147">
        <v>1.681</v>
      </c>
      <c r="H50" s="147">
        <v>0.22700000000000001</v>
      </c>
      <c r="I50" s="133">
        <v>323</v>
      </c>
      <c r="J50" s="133">
        <f>(H50*1000000)/I50</f>
        <v>702.78637770897831</v>
      </c>
      <c r="K50" s="133"/>
      <c r="L50" s="147">
        <v>0.50990000000000002</v>
      </c>
      <c r="M50" s="147">
        <v>0.1842</v>
      </c>
      <c r="N50" s="133">
        <v>328</v>
      </c>
      <c r="O50" s="134">
        <f>(M50*1000000)/N50</f>
        <v>561.58536585365857</v>
      </c>
    </row>
    <row r="51" spans="1:15" ht="11.1" customHeight="1" x14ac:dyDescent="0.2">
      <c r="A51" s="138" t="s">
        <v>28</v>
      </c>
      <c r="B51" s="135">
        <v>4.17</v>
      </c>
      <c r="C51" s="135">
        <v>0.75</v>
      </c>
      <c r="D51" s="133">
        <v>1131</v>
      </c>
      <c r="E51" s="133">
        <f>(C51*1000000)/D51</f>
        <v>663.12997347480109</v>
      </c>
      <c r="F51" s="133"/>
      <c r="G51" s="147">
        <v>1.83</v>
      </c>
      <c r="H51" s="147">
        <v>0.23</v>
      </c>
      <c r="I51" s="133">
        <v>337</v>
      </c>
      <c r="J51" s="133">
        <f>(H51*1000000)/I51</f>
        <v>682.49258160237389</v>
      </c>
      <c r="K51" s="133"/>
      <c r="L51" s="147">
        <v>0.504</v>
      </c>
      <c r="M51" s="147">
        <v>0.14000000000000001</v>
      </c>
      <c r="N51" s="133">
        <v>229</v>
      </c>
      <c r="O51" s="134">
        <f>(M51*1000000)/N51</f>
        <v>611.35371179039305</v>
      </c>
    </row>
    <row r="52" spans="1:15" ht="11.1" customHeight="1" x14ac:dyDescent="0.2">
      <c r="A52" s="138" t="s">
        <v>29</v>
      </c>
      <c r="B52" s="135">
        <v>4.03</v>
      </c>
      <c r="C52" s="135">
        <v>0.77</v>
      </c>
      <c r="D52" s="133">
        <v>1077</v>
      </c>
      <c r="E52" s="133">
        <f>(C52*1000000)/D52</f>
        <v>714.94893221912719</v>
      </c>
      <c r="F52" s="133"/>
      <c r="G52" s="147">
        <v>1.776</v>
      </c>
      <c r="H52" s="147">
        <v>0.25</v>
      </c>
      <c r="I52" s="133">
        <v>351</v>
      </c>
      <c r="J52" s="133">
        <f>(H52*1000000)/I52</f>
        <v>712.25071225071224</v>
      </c>
      <c r="K52" s="133"/>
      <c r="L52" s="147">
        <v>0.35499999999999998</v>
      </c>
      <c r="M52" s="147">
        <v>0.12</v>
      </c>
      <c r="N52" s="133">
        <v>216</v>
      </c>
      <c r="O52" s="134">
        <f>(M52*1000000)/N52</f>
        <v>555.55555555555554</v>
      </c>
    </row>
    <row r="53" spans="1:15" ht="11.1" customHeight="1" x14ac:dyDescent="0.2">
      <c r="A53" s="138" t="s">
        <v>30</v>
      </c>
      <c r="B53" s="135">
        <v>4.67</v>
      </c>
      <c r="C53" s="135">
        <v>0.78700000000000003</v>
      </c>
      <c r="D53" s="133">
        <v>1112</v>
      </c>
      <c r="E53" s="133">
        <f>(C53*1000000)/D53</f>
        <v>707.73381294964031</v>
      </c>
      <c r="F53" s="133"/>
      <c r="G53" s="147">
        <v>1.9019999999999999</v>
      </c>
      <c r="H53" s="147">
        <v>0.251</v>
      </c>
      <c r="I53" s="133">
        <v>372</v>
      </c>
      <c r="J53" s="133">
        <f>(H53*1000000)/I53</f>
        <v>674.73118279569894</v>
      </c>
      <c r="K53" s="133"/>
      <c r="L53" s="147">
        <v>0.2467</v>
      </c>
      <c r="M53" s="147">
        <v>0.109</v>
      </c>
      <c r="N53" s="133">
        <v>217</v>
      </c>
      <c r="O53" s="134">
        <f>(M53*1000000)/N53</f>
        <v>502.30414746543778</v>
      </c>
    </row>
    <row r="54" spans="1:15" ht="15" customHeight="1" x14ac:dyDescent="0.2">
      <c r="A54" s="118" t="s">
        <v>49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48"/>
    </row>
    <row r="55" spans="1:15" s="154" customFormat="1" ht="11.1" customHeight="1" x14ac:dyDescent="0.2">
      <c r="A55" s="149" t="s">
        <v>27</v>
      </c>
      <c r="B55" s="150">
        <v>3.9888249999999998</v>
      </c>
      <c r="C55" s="150">
        <v>0.680033</v>
      </c>
      <c r="D55" s="151">
        <v>1010</v>
      </c>
      <c r="E55" s="151">
        <f t="shared" ref="E55:E63" si="0">(C55*1000000)/D55</f>
        <v>673.3</v>
      </c>
      <c r="F55" s="151"/>
      <c r="G55" s="152">
        <v>1.565436</v>
      </c>
      <c r="H55" s="152">
        <v>0.23713699999999999</v>
      </c>
      <c r="I55" s="151">
        <v>351</v>
      </c>
      <c r="J55" s="151">
        <f t="shared" ref="J55:J63" si="1">(H55*1000000)/I55</f>
        <v>675.60398860398857</v>
      </c>
      <c r="K55" s="151"/>
      <c r="L55" s="152">
        <v>0.390849</v>
      </c>
      <c r="M55" s="152">
        <v>9.6531000000000006E-2</v>
      </c>
      <c r="N55" s="151">
        <v>218</v>
      </c>
      <c r="O55" s="153">
        <f t="shared" ref="O55:O63" si="2">(M55*1000000)/N55</f>
        <v>442.80275229357801</v>
      </c>
    </row>
    <row r="56" spans="1:15" s="154" customFormat="1" ht="11.1" customHeight="1" x14ac:dyDescent="0.2">
      <c r="A56" s="149" t="s">
        <v>28</v>
      </c>
      <c r="B56" s="150">
        <v>4.8548590000000003</v>
      </c>
      <c r="C56" s="150">
        <v>0.80196100000000003</v>
      </c>
      <c r="D56" s="151">
        <v>1059</v>
      </c>
      <c r="E56" s="151">
        <f t="shared" si="0"/>
        <v>757.28139754485369</v>
      </c>
      <c r="F56" s="151"/>
      <c r="G56" s="152">
        <v>1.8612139999999999</v>
      </c>
      <c r="H56" s="152">
        <v>0.28695300000000001</v>
      </c>
      <c r="I56" s="151">
        <v>347</v>
      </c>
      <c r="J56" s="151">
        <f t="shared" si="1"/>
        <v>826.95389048991353</v>
      </c>
      <c r="K56" s="151"/>
      <c r="L56" s="152">
        <v>0.76505800000000002</v>
      </c>
      <c r="M56" s="152">
        <v>0.120519</v>
      </c>
      <c r="N56" s="151">
        <v>247</v>
      </c>
      <c r="O56" s="153">
        <f t="shared" si="2"/>
        <v>487.9311740890688</v>
      </c>
    </row>
    <row r="57" spans="1:15" s="154" customFormat="1" ht="11.1" customHeight="1" x14ac:dyDescent="0.2">
      <c r="A57" s="149" t="s">
        <v>29</v>
      </c>
      <c r="B57" s="150">
        <v>4.4960789999999999</v>
      </c>
      <c r="C57" s="150">
        <v>0.81895300000000004</v>
      </c>
      <c r="D57" s="151">
        <v>1041</v>
      </c>
      <c r="E57" s="151">
        <f t="shared" si="0"/>
        <v>786.69836695485105</v>
      </c>
      <c r="F57" s="151"/>
      <c r="G57" s="152">
        <v>1.8507849999999999</v>
      </c>
      <c r="H57" s="152">
        <v>0.30348799999999998</v>
      </c>
      <c r="I57" s="151">
        <v>365</v>
      </c>
      <c r="J57" s="151">
        <f t="shared" si="1"/>
        <v>831.47397260273976</v>
      </c>
      <c r="K57" s="151"/>
      <c r="L57" s="152">
        <f>0.166423+0.440236</f>
        <v>0.60665900000000006</v>
      </c>
      <c r="M57" s="152">
        <v>0.13275300000000001</v>
      </c>
      <c r="N57" s="151">
        <v>237</v>
      </c>
      <c r="O57" s="153">
        <f t="shared" si="2"/>
        <v>560.13924050632909</v>
      </c>
    </row>
    <row r="58" spans="1:15" s="154" customFormat="1" ht="11.1" customHeight="1" x14ac:dyDescent="0.2">
      <c r="A58" s="149" t="s">
        <v>30</v>
      </c>
      <c r="B58" s="307">
        <v>4.3365749999999998</v>
      </c>
      <c r="C58" s="307">
        <v>0.81611299999999998</v>
      </c>
      <c r="D58" s="308">
        <v>1070</v>
      </c>
      <c r="E58" s="308">
        <f t="shared" si="0"/>
        <v>762.72242990654206</v>
      </c>
      <c r="F58" s="308"/>
      <c r="G58" s="309">
        <v>1.667373</v>
      </c>
      <c r="H58" s="309">
        <v>0.30644199999999999</v>
      </c>
      <c r="I58" s="308">
        <v>347</v>
      </c>
      <c r="J58" s="308">
        <f t="shared" si="1"/>
        <v>883.11815561959656</v>
      </c>
      <c r="K58" s="308"/>
      <c r="L58" s="309">
        <f>0.061805+0.475135</f>
        <v>0.53693999999999997</v>
      </c>
      <c r="M58" s="309">
        <v>8.6456000000000005E-2</v>
      </c>
      <c r="N58" s="308">
        <v>236</v>
      </c>
      <c r="O58" s="153">
        <f t="shared" si="2"/>
        <v>366.33898305084745</v>
      </c>
    </row>
    <row r="59" spans="1:15" s="154" customFormat="1" ht="15" customHeight="1" x14ac:dyDescent="0.2">
      <c r="A59" s="118" t="s">
        <v>89</v>
      </c>
      <c r="B59" s="307"/>
      <c r="C59" s="307"/>
      <c r="D59" s="308"/>
      <c r="E59" s="308"/>
      <c r="F59" s="308"/>
      <c r="G59" s="309"/>
      <c r="H59" s="309"/>
      <c r="I59" s="308"/>
      <c r="J59" s="308"/>
      <c r="K59" s="308"/>
      <c r="L59" s="309"/>
      <c r="M59" s="309"/>
      <c r="N59" s="308"/>
      <c r="O59" s="153"/>
    </row>
    <row r="60" spans="1:15" s="154" customFormat="1" ht="11.1" customHeight="1" x14ac:dyDescent="0.2">
      <c r="A60" s="149" t="s">
        <v>27</v>
      </c>
      <c r="B60" s="307">
        <v>4.633915</v>
      </c>
      <c r="C60" s="307">
        <v>0.86046500000000004</v>
      </c>
      <c r="D60" s="308">
        <v>1198</v>
      </c>
      <c r="E60" s="308">
        <f t="shared" si="0"/>
        <v>718.25125208681141</v>
      </c>
      <c r="F60" s="308"/>
      <c r="G60" s="309">
        <v>1.8655679999999999</v>
      </c>
      <c r="H60" s="309">
        <v>0.34629300000000002</v>
      </c>
      <c r="I60" s="308">
        <v>479</v>
      </c>
      <c r="J60" s="308">
        <f t="shared" si="1"/>
        <v>722.94989561586635</v>
      </c>
      <c r="K60" s="308"/>
      <c r="L60" s="309">
        <v>0.60217399999999999</v>
      </c>
      <c r="M60" s="309">
        <v>0.114298</v>
      </c>
      <c r="N60" s="308">
        <v>226</v>
      </c>
      <c r="O60" s="153">
        <f t="shared" si="2"/>
        <v>505.74336283185841</v>
      </c>
    </row>
    <row r="61" spans="1:15" s="154" customFormat="1" ht="11.1" customHeight="1" x14ac:dyDescent="0.2">
      <c r="A61" s="149" t="s">
        <v>28</v>
      </c>
      <c r="B61" s="307">
        <v>4.6722919999999997</v>
      </c>
      <c r="C61" s="307">
        <v>0.78647900000000004</v>
      </c>
      <c r="D61" s="308">
        <v>1015</v>
      </c>
      <c r="E61" s="308">
        <f t="shared" si="0"/>
        <v>774.85615763546798</v>
      </c>
      <c r="F61" s="308"/>
      <c r="G61" s="309">
        <v>1.7544280000000001</v>
      </c>
      <c r="H61" s="309">
        <v>0.31763799999999998</v>
      </c>
      <c r="I61" s="308">
        <v>403</v>
      </c>
      <c r="J61" s="308">
        <f t="shared" si="1"/>
        <v>788.18362282878411</v>
      </c>
      <c r="K61" s="308"/>
      <c r="L61" s="309">
        <v>0.56193400000000004</v>
      </c>
      <c r="M61" s="309">
        <v>8.1563999999999998E-2</v>
      </c>
      <c r="N61" s="308">
        <v>146</v>
      </c>
      <c r="O61" s="153">
        <f t="shared" si="2"/>
        <v>558.65753424657532</v>
      </c>
    </row>
    <row r="62" spans="1:15" s="154" customFormat="1" ht="11.1" customHeight="1" x14ac:dyDescent="0.2">
      <c r="A62" s="149" t="s">
        <v>29</v>
      </c>
      <c r="B62" s="307">
        <v>5.0370429999999997</v>
      </c>
      <c r="C62" s="307">
        <v>0.816882</v>
      </c>
      <c r="D62" s="308">
        <v>1053</v>
      </c>
      <c r="E62" s="308">
        <f t="shared" si="0"/>
        <v>775.76638176638176</v>
      </c>
      <c r="F62" s="308"/>
      <c r="G62" s="309">
        <v>1.9183669999999999</v>
      </c>
      <c r="H62" s="309">
        <v>0.320828</v>
      </c>
      <c r="I62" s="308">
        <v>427</v>
      </c>
      <c r="J62" s="308">
        <f t="shared" si="1"/>
        <v>751.35362997658081</v>
      </c>
      <c r="K62" s="308"/>
      <c r="L62" s="309">
        <v>0.67573799999999995</v>
      </c>
      <c r="M62" s="309">
        <v>8.0366999999999994E-2</v>
      </c>
      <c r="N62" s="308">
        <v>145</v>
      </c>
      <c r="O62" s="153">
        <f t="shared" si="2"/>
        <v>554.25517241379305</v>
      </c>
    </row>
    <row r="63" spans="1:15" s="154" customFormat="1" ht="15" customHeight="1" x14ac:dyDescent="0.2">
      <c r="A63" s="149" t="s">
        <v>30</v>
      </c>
      <c r="B63" s="307">
        <v>5.1569510000000003</v>
      </c>
      <c r="C63" s="307">
        <v>0.81552000000000002</v>
      </c>
      <c r="D63" s="308">
        <v>998</v>
      </c>
      <c r="E63" s="308">
        <f t="shared" si="0"/>
        <v>817.15430861723451</v>
      </c>
      <c r="F63" s="308"/>
      <c r="G63" s="309">
        <v>2.1356869999999999</v>
      </c>
      <c r="H63" s="309">
        <v>0.32292100000000001</v>
      </c>
      <c r="I63" s="308">
        <v>433</v>
      </c>
      <c r="J63" s="308">
        <f t="shared" si="1"/>
        <v>745.77598152424946</v>
      </c>
      <c r="K63" s="308"/>
      <c r="L63" s="309">
        <v>0.39095999999999997</v>
      </c>
      <c r="M63" s="309">
        <v>5.4191000000000003E-2</v>
      </c>
      <c r="N63" s="308">
        <v>95</v>
      </c>
      <c r="O63" s="153">
        <f t="shared" si="2"/>
        <v>570.43157894736839</v>
      </c>
    </row>
    <row r="64" spans="1:15" ht="20.100000000000001" customHeight="1" x14ac:dyDescent="0.2">
      <c r="A64" s="252" t="s">
        <v>90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</row>
    <row r="65" spans="1:7" ht="10.199999999999999" customHeight="1" x14ac:dyDescent="0.2">
      <c r="A65" s="276" t="s">
        <v>2</v>
      </c>
    </row>
    <row r="66" spans="1:7" x14ac:dyDescent="0.2">
      <c r="A66"/>
    </row>
    <row r="71" spans="1:7" x14ac:dyDescent="0.2">
      <c r="A71" s="155" t="s">
        <v>91</v>
      </c>
    </row>
    <row r="77" spans="1:7" s="154" customFormat="1" x14ac:dyDescent="0.2">
      <c r="C77" s="278"/>
      <c r="D77" s="278"/>
      <c r="E77" s="278"/>
      <c r="F77" s="278"/>
      <c r="G77" s="278"/>
    </row>
  </sheetData>
  <sheetProtection password="CF11" sheet="1" objects="1" scenarios="1"/>
  <phoneticPr fontId="2" type="noConversion"/>
  <printOptions gridLinesSet="0"/>
  <pageMargins left="0.59055118110236227" right="1.9685039370078741" top="0.59055118110236227" bottom="2.4409448818897639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L13" transitionEvaluation="1" codeName="Sheet16"/>
  <dimension ref="A1:DE48"/>
  <sheetViews>
    <sheetView showGridLines="0" showOutlineSymbols="0" workbookViewId="0">
      <pane xSplit="11" ySplit="4" topLeftCell="L13" activePane="bottomRight" state="frozen"/>
      <selection pane="topRight" activeCell="L1" sqref="L1"/>
      <selection pane="bottomLeft" activeCell="A5" sqref="A5"/>
      <selection pane="bottomRight" activeCell="DB39" sqref="DB39"/>
    </sheetView>
  </sheetViews>
  <sheetFormatPr defaultColWidth="9" defaultRowHeight="10.199999999999999" outlineLevelCol="2" x14ac:dyDescent="0.2"/>
  <cols>
    <col min="1" max="1" width="24" style="156" customWidth="1"/>
    <col min="2" max="2" width="9" style="156" hidden="1" customWidth="1" outlineLevel="1"/>
    <col min="3" max="4" width="8.6640625" style="156" hidden="1" customWidth="1" outlineLevel="1"/>
    <col min="5" max="6" width="7.6640625" style="156" hidden="1" customWidth="1" outlineLevel="1"/>
    <col min="7" max="7" width="7.6640625" style="156" hidden="1" customWidth="1" outlineLevel="1" collapsed="1"/>
    <col min="8" max="8" width="7.6640625" style="156" hidden="1" customWidth="1" outlineLevel="1"/>
    <col min="9" max="11" width="8" style="156" hidden="1" customWidth="1" outlineLevel="1"/>
    <col min="12" max="12" width="8" style="156" bestFit="1" customWidth="1" collapsed="1"/>
    <col min="13" max="17" width="8" style="156" customWidth="1"/>
    <col min="18" max="18" width="5.83203125" style="156" hidden="1" customWidth="1" outlineLevel="1"/>
    <col min="19" max="19" width="5.33203125" style="156" hidden="1" customWidth="1" outlineLevel="1"/>
    <col min="20" max="20" width="6.33203125" style="156" hidden="1" customWidth="1" outlineLevel="1"/>
    <col min="21" max="21" width="5.33203125" style="156" hidden="1" customWidth="1" outlineLevel="1"/>
    <col min="22" max="22" width="1.83203125" style="156" hidden="1" customWidth="1" outlineLevel="1"/>
    <col min="23" max="23" width="5.83203125" style="156" hidden="1" customWidth="1" outlineLevel="1"/>
    <col min="24" max="24" width="5.33203125" style="156" hidden="1" customWidth="1" outlineLevel="1"/>
    <col min="25" max="26" width="6.33203125" style="156" hidden="1" customWidth="1" outlineLevel="1"/>
    <col min="27" max="27" width="1.83203125" style="156" hidden="1" customWidth="1" outlineLevel="1"/>
    <col min="28" max="31" width="6.33203125" style="156" hidden="1" customWidth="1" outlineLevel="1"/>
    <col min="32" max="32" width="1.83203125" style="156" hidden="1" customWidth="1" outlineLevel="1"/>
    <col min="33" max="36" width="6.33203125" style="156" hidden="1" customWidth="1" outlineLevel="1"/>
    <col min="37" max="37" width="1.83203125" style="156" hidden="1" customWidth="1" outlineLevel="1"/>
    <col min="38" max="41" width="6.33203125" style="156" hidden="1" customWidth="1" outlineLevel="1"/>
    <col min="42" max="42" width="1.83203125" style="156" hidden="1" customWidth="1" outlineLevel="1"/>
    <col min="43" max="46" width="6.33203125" style="156" hidden="1" customWidth="1" outlineLevel="1"/>
    <col min="47" max="47" width="1.83203125" style="156" hidden="1" customWidth="1" outlineLevel="1"/>
    <col min="48" max="51" width="6.33203125" style="156" hidden="1" customWidth="1" outlineLevel="1"/>
    <col min="52" max="52" width="1.83203125" style="156" hidden="1" customWidth="1" outlineLevel="1"/>
    <col min="53" max="56" width="6.33203125" style="156" hidden="1" customWidth="1" outlineLevel="1"/>
    <col min="57" max="57" width="1.83203125" style="156" hidden="1" customWidth="1" outlineLevel="1"/>
    <col min="58" max="58" width="6.33203125" style="156" hidden="1" customWidth="1" outlineLevel="1"/>
    <col min="59" max="61" width="7.6640625" style="156" hidden="1" customWidth="1" outlineLevel="1"/>
    <col min="62" max="62" width="1.83203125" style="156" hidden="1" customWidth="1" outlineLevel="1"/>
    <col min="63" max="63" width="7.6640625" style="156" hidden="1" customWidth="1" outlineLevel="1" collapsed="1"/>
    <col min="64" max="64" width="6.33203125" style="156" hidden="1" customWidth="1" outlineLevel="1"/>
    <col min="65" max="66" width="7.6640625" style="156" hidden="1" customWidth="1" outlineLevel="1"/>
    <col min="67" max="67" width="2" style="156" hidden="1" customWidth="1" outlineLevel="1"/>
    <col min="68" max="69" width="7.83203125" style="156" hidden="1" customWidth="1" outlineLevel="1"/>
    <col min="70" max="70" width="7.83203125" style="157" hidden="1" customWidth="1" outlineLevel="1"/>
    <col min="71" max="71" width="7.83203125" style="156" hidden="1" customWidth="1" outlineLevel="1"/>
    <col min="72" max="72" width="1.83203125" style="156" hidden="1" customWidth="1" outlineLevel="1"/>
    <col min="73" max="76" width="7.83203125" style="156" hidden="1" customWidth="1" outlineLevel="1"/>
    <col min="77" max="77" width="1.83203125" style="156" hidden="1" customWidth="1" outlineLevel="1"/>
    <col min="78" max="79" width="7.83203125" style="156" hidden="1" customWidth="1" outlineLevel="1"/>
    <col min="80" max="80" width="2" style="156" hidden="1" customWidth="1" outlineLevel="1"/>
    <col min="81" max="82" width="7.6640625" style="156" hidden="1" customWidth="1" outlineLevel="1"/>
    <col min="83" max="83" width="1.83203125" style="156" hidden="1" customWidth="1" outlineLevel="1" collapsed="1"/>
    <col min="84" max="87" width="7.6640625" style="156" hidden="1" customWidth="1" outlineLevel="2"/>
    <col min="88" max="88" width="2" style="156" hidden="1" customWidth="1" outlineLevel="2" collapsed="1"/>
    <col min="89" max="89" width="7.6640625" style="156" hidden="1" customWidth="1" outlineLevel="2" collapsed="1"/>
    <col min="90" max="90" width="7.6640625" style="156" hidden="1" customWidth="1" outlineLevel="2"/>
    <col min="91" max="91" width="7.6640625" hidden="1" customWidth="1" outlineLevel="1" collapsed="1"/>
    <col min="92" max="92" width="7.6640625" hidden="1" customWidth="1" outlineLevel="1"/>
    <col min="93" max="93" width="2" customWidth="1" collapsed="1"/>
    <col min="94" max="94" width="7.6640625" hidden="1" customWidth="1" outlineLevel="1"/>
    <col min="95" max="95" width="7.33203125" hidden="1" customWidth="1" outlineLevel="1"/>
    <col min="96" max="96" width="7.33203125" customWidth="1" collapsed="1"/>
    <col min="97" max="97" width="7.33203125" customWidth="1"/>
    <col min="98" max="98" width="2" customWidth="1"/>
    <col min="99" max="99" width="7.6640625" bestFit="1" customWidth="1"/>
    <col min="100" max="102" width="7.6640625" customWidth="1"/>
    <col min="103" max="103" width="2" customWidth="1"/>
    <col min="104" max="107" width="7.6640625" customWidth="1"/>
    <col min="108" max="108" width="4.6640625" style="156" customWidth="1"/>
    <col min="109" max="16384" width="9" style="156"/>
  </cols>
  <sheetData>
    <row r="1" spans="1:109" ht="18.75" customHeight="1" x14ac:dyDescent="0.25">
      <c r="A1" s="848" t="s">
        <v>120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8"/>
      <c r="AL1" s="848"/>
      <c r="AM1" s="848"/>
      <c r="AN1" s="848"/>
      <c r="AO1" s="848"/>
      <c r="AP1" s="848"/>
      <c r="AQ1" s="848"/>
      <c r="AR1" s="848"/>
      <c r="AS1" s="848"/>
      <c r="AT1" s="848"/>
      <c r="AU1" s="848"/>
      <c r="AV1" s="848"/>
      <c r="AW1" s="848"/>
      <c r="AX1" s="848"/>
      <c r="AY1" s="848"/>
      <c r="AZ1" s="848"/>
      <c r="BA1" s="848"/>
      <c r="BB1" s="848"/>
      <c r="BC1" s="848"/>
      <c r="BD1" s="848"/>
      <c r="BE1" s="848"/>
      <c r="BF1" s="848"/>
      <c r="BG1" s="848"/>
      <c r="BH1" s="848"/>
      <c r="BI1" s="848"/>
      <c r="BJ1" s="848"/>
      <c r="BK1" s="848"/>
      <c r="BL1" s="848"/>
      <c r="BM1" s="848"/>
      <c r="BN1" s="848"/>
      <c r="BO1" s="848"/>
      <c r="BP1" s="848"/>
      <c r="BQ1" s="848"/>
      <c r="BR1" s="848"/>
      <c r="BS1" s="848"/>
      <c r="BT1" s="848"/>
      <c r="BU1" s="848"/>
      <c r="BV1" s="848"/>
      <c r="BW1" s="848"/>
      <c r="BX1" s="848"/>
      <c r="BY1" s="848"/>
      <c r="BZ1" s="848"/>
      <c r="CA1" s="848"/>
      <c r="CB1" s="848"/>
      <c r="CC1" s="848"/>
      <c r="CD1" s="848"/>
      <c r="CE1" s="848"/>
      <c r="CF1" s="848"/>
      <c r="CG1" s="848"/>
      <c r="CH1" s="848"/>
      <c r="CI1" s="848"/>
      <c r="CJ1" s="848"/>
      <c r="CK1" s="848"/>
      <c r="CL1" s="848"/>
      <c r="CM1" s="848"/>
      <c r="CN1" s="848"/>
      <c r="CO1" s="848"/>
      <c r="CP1" s="848"/>
      <c r="CQ1" s="848"/>
      <c r="CR1" s="848"/>
      <c r="CS1" s="848"/>
      <c r="CT1" s="848"/>
      <c r="CU1" s="848"/>
      <c r="CV1" s="848"/>
      <c r="CW1" s="848"/>
      <c r="CX1" s="848"/>
      <c r="CY1" s="848"/>
      <c r="CZ1" s="848"/>
      <c r="DA1" s="848"/>
      <c r="DB1" s="848"/>
      <c r="DC1" s="848"/>
      <c r="DD1" s="301" t="s">
        <v>68</v>
      </c>
    </row>
    <row r="2" spans="1:109" ht="12.75" customHeight="1" x14ac:dyDescent="0.2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S2" s="158"/>
      <c r="BT2" s="158"/>
      <c r="BU2" s="158"/>
      <c r="BV2" s="158"/>
      <c r="BW2" s="158"/>
      <c r="BX2" s="158"/>
      <c r="BY2" s="158"/>
      <c r="CE2" s="158"/>
      <c r="CK2" s="372"/>
      <c r="CL2" s="372"/>
      <c r="CM2" s="375"/>
      <c r="CN2" s="37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</row>
    <row r="3" spans="1:109" s="177" customFormat="1" ht="14.25" customHeight="1" x14ac:dyDescent="0.2">
      <c r="A3" s="305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1">
        <v>1982</v>
      </c>
      <c r="S3" s="160"/>
      <c r="T3" s="173"/>
      <c r="U3" s="161"/>
      <c r="V3" s="159"/>
      <c r="W3" s="161">
        <v>1983</v>
      </c>
      <c r="X3" s="160"/>
      <c r="Y3" s="173"/>
      <c r="Z3" s="161"/>
      <c r="AA3" s="159"/>
      <c r="AB3" s="161">
        <v>1984</v>
      </c>
      <c r="AC3" s="160"/>
      <c r="AD3" s="173"/>
      <c r="AE3" s="161"/>
      <c r="AF3" s="159"/>
      <c r="AG3" s="161">
        <v>1985</v>
      </c>
      <c r="AH3" s="160"/>
      <c r="AI3" s="161"/>
      <c r="AJ3" s="161"/>
      <c r="AK3" s="159"/>
      <c r="AL3" s="161">
        <v>1986</v>
      </c>
      <c r="AM3" s="162"/>
      <c r="AN3" s="173"/>
      <c r="AO3" s="161"/>
      <c r="AP3" s="159"/>
      <c r="AQ3" s="161">
        <v>1987</v>
      </c>
      <c r="AR3" s="162"/>
      <c r="AS3" s="161"/>
      <c r="AT3" s="161"/>
      <c r="AU3" s="159"/>
      <c r="AV3" s="161">
        <v>1988</v>
      </c>
      <c r="AW3" s="160"/>
      <c r="AX3" s="173"/>
      <c r="AY3" s="161"/>
      <c r="AZ3" s="159"/>
      <c r="BA3" s="161">
        <v>1989</v>
      </c>
      <c r="BB3" s="160"/>
      <c r="BC3" s="173"/>
      <c r="BD3" s="161"/>
      <c r="BE3" s="159"/>
      <c r="BF3" s="161">
        <v>1990</v>
      </c>
      <c r="BG3" s="160"/>
      <c r="BH3" s="173"/>
      <c r="BI3" s="161"/>
      <c r="BJ3" s="159"/>
      <c r="BK3" s="161">
        <v>1991</v>
      </c>
      <c r="BL3" s="306"/>
      <c r="BM3" s="160"/>
      <c r="BN3" s="161"/>
      <c r="BO3" s="159"/>
      <c r="BP3" s="161"/>
      <c r="BQ3" s="162"/>
      <c r="BR3" s="161">
        <v>1992</v>
      </c>
      <c r="BS3" s="161"/>
      <c r="BT3" s="161"/>
      <c r="BU3" s="341"/>
      <c r="BV3" s="162"/>
      <c r="BW3" s="161">
        <v>1993</v>
      </c>
      <c r="BX3" s="160"/>
      <c r="BY3" s="161"/>
      <c r="BZ3" s="377"/>
      <c r="CA3" s="161"/>
      <c r="CB3" s="161"/>
      <c r="CC3" s="163">
        <v>1994</v>
      </c>
      <c r="CD3" s="163"/>
      <c r="CE3" s="161"/>
      <c r="CF3" s="448"/>
      <c r="CG3" s="163"/>
      <c r="CH3" s="161">
        <v>1995</v>
      </c>
      <c r="CI3" s="163"/>
      <c r="CJ3" s="161"/>
      <c r="CL3" s="374"/>
      <c r="CM3" s="374">
        <v>1996</v>
      </c>
      <c r="CN3" s="376"/>
      <c r="CO3" s="161"/>
      <c r="CP3" s="453">
        <v>1997</v>
      </c>
      <c r="CQ3" s="453"/>
      <c r="CR3" s="845">
        <v>1997</v>
      </c>
      <c r="CS3" s="845"/>
      <c r="CT3" s="447"/>
      <c r="CU3" s="845">
        <v>1998</v>
      </c>
      <c r="CV3" s="845"/>
      <c r="CW3" s="845"/>
      <c r="CX3" s="845"/>
      <c r="CY3" s="447"/>
      <c r="CZ3" s="845">
        <v>1999</v>
      </c>
      <c r="DA3" s="845"/>
      <c r="DB3" s="845"/>
      <c r="DC3" s="847"/>
      <c r="DD3" s="294"/>
    </row>
    <row r="4" spans="1:109" ht="14.25" customHeight="1" x14ac:dyDescent="0.2">
      <c r="A4" s="313" t="s">
        <v>6</v>
      </c>
      <c r="B4" s="164" t="s">
        <v>92</v>
      </c>
      <c r="C4" s="165" t="s">
        <v>15</v>
      </c>
      <c r="D4" s="166" t="s">
        <v>16</v>
      </c>
      <c r="E4" s="166" t="s">
        <v>17</v>
      </c>
      <c r="F4" s="166" t="s">
        <v>18</v>
      </c>
      <c r="G4" s="166" t="s">
        <v>19</v>
      </c>
      <c r="H4" s="166" t="s">
        <v>20</v>
      </c>
      <c r="I4" s="167" t="s">
        <v>21</v>
      </c>
      <c r="J4" s="168" t="s">
        <v>22</v>
      </c>
      <c r="K4" s="168" t="s">
        <v>23</v>
      </c>
      <c r="L4" s="168" t="s">
        <v>24</v>
      </c>
      <c r="M4" s="168" t="s">
        <v>25</v>
      </c>
      <c r="N4" s="168" t="s">
        <v>26</v>
      </c>
      <c r="O4" s="168" t="s">
        <v>111</v>
      </c>
      <c r="P4" s="168" t="s">
        <v>121</v>
      </c>
      <c r="Q4" s="168" t="s">
        <v>122</v>
      </c>
      <c r="R4" s="169" t="s">
        <v>27</v>
      </c>
      <c r="S4" s="169" t="s">
        <v>28</v>
      </c>
      <c r="T4" s="169" t="s">
        <v>29</v>
      </c>
      <c r="U4" s="169" t="s">
        <v>30</v>
      </c>
      <c r="V4" s="172"/>
      <c r="W4" s="169" t="s">
        <v>27</v>
      </c>
      <c r="X4" s="169" t="s">
        <v>28</v>
      </c>
      <c r="Y4" s="169" t="s">
        <v>29</v>
      </c>
      <c r="Z4" s="169" t="s">
        <v>30</v>
      </c>
      <c r="AA4" s="172"/>
      <c r="AB4" s="169" t="s">
        <v>27</v>
      </c>
      <c r="AC4" s="169" t="s">
        <v>28</v>
      </c>
      <c r="AD4" s="169" t="s">
        <v>29</v>
      </c>
      <c r="AE4" s="169" t="s">
        <v>30</v>
      </c>
      <c r="AF4" s="172"/>
      <c r="AG4" s="169" t="s">
        <v>27</v>
      </c>
      <c r="AH4" s="169" t="s">
        <v>28</v>
      </c>
      <c r="AI4" s="169" t="s">
        <v>29</v>
      </c>
      <c r="AJ4" s="169" t="s">
        <v>30</v>
      </c>
      <c r="AK4" s="172"/>
      <c r="AL4" s="169" t="s">
        <v>27</v>
      </c>
      <c r="AM4" s="170" t="s">
        <v>28</v>
      </c>
      <c r="AN4" s="171" t="s">
        <v>29</v>
      </c>
      <c r="AO4" s="169" t="s">
        <v>30</v>
      </c>
      <c r="AP4" s="172"/>
      <c r="AQ4" s="169" t="s">
        <v>27</v>
      </c>
      <c r="AR4" s="169" t="s">
        <v>28</v>
      </c>
      <c r="AS4" s="169" t="s">
        <v>29</v>
      </c>
      <c r="AT4" s="169" t="s">
        <v>30</v>
      </c>
      <c r="AU4" s="172"/>
      <c r="AV4" s="169" t="s">
        <v>27</v>
      </c>
      <c r="AW4" s="169" t="s">
        <v>28</v>
      </c>
      <c r="AX4" s="169" t="s">
        <v>29</v>
      </c>
      <c r="AY4" s="169" t="s">
        <v>30</v>
      </c>
      <c r="AZ4" s="172"/>
      <c r="BA4" s="169" t="s">
        <v>27</v>
      </c>
      <c r="BB4" s="169" t="s">
        <v>28</v>
      </c>
      <c r="BC4" s="169" t="s">
        <v>29</v>
      </c>
      <c r="BD4" s="169" t="s">
        <v>30</v>
      </c>
      <c r="BE4" s="172"/>
      <c r="BF4" s="169" t="s">
        <v>27</v>
      </c>
      <c r="BG4" s="169" t="s">
        <v>28</v>
      </c>
      <c r="BH4" s="169" t="s">
        <v>29</v>
      </c>
      <c r="BI4" s="169" t="s">
        <v>30</v>
      </c>
      <c r="BJ4" s="172"/>
      <c r="BK4" s="169" t="s">
        <v>27</v>
      </c>
      <c r="BL4" s="216" t="s">
        <v>28</v>
      </c>
      <c r="BM4" s="169" t="s">
        <v>29</v>
      </c>
      <c r="BN4" s="169" t="s">
        <v>30</v>
      </c>
      <c r="BO4" s="172"/>
      <c r="BP4" s="169" t="s">
        <v>27</v>
      </c>
      <c r="BQ4" s="170" t="s">
        <v>28</v>
      </c>
      <c r="BR4" s="171" t="s">
        <v>29</v>
      </c>
      <c r="BS4" s="169" t="s">
        <v>30</v>
      </c>
      <c r="BT4" s="172"/>
      <c r="BU4" s="169" t="s">
        <v>27</v>
      </c>
      <c r="BV4" s="169" t="s">
        <v>28</v>
      </c>
      <c r="BW4" s="169" t="s">
        <v>29</v>
      </c>
      <c r="BX4" s="216" t="s">
        <v>30</v>
      </c>
      <c r="BY4" s="172"/>
      <c r="BZ4" s="216" t="s">
        <v>27</v>
      </c>
      <c r="CA4" s="216" t="s">
        <v>28</v>
      </c>
      <c r="CB4" s="332"/>
      <c r="CC4" s="216" t="s">
        <v>29</v>
      </c>
      <c r="CD4" s="216" t="s">
        <v>30</v>
      </c>
      <c r="CE4" s="172"/>
      <c r="CF4" s="216" t="s">
        <v>27</v>
      </c>
      <c r="CG4" s="216" t="s">
        <v>28</v>
      </c>
      <c r="CH4" s="216" t="s">
        <v>29</v>
      </c>
      <c r="CI4" s="216" t="s">
        <v>30</v>
      </c>
      <c r="CJ4" s="332"/>
      <c r="CK4" s="216" t="s">
        <v>27</v>
      </c>
      <c r="CL4" s="216" t="s">
        <v>28</v>
      </c>
      <c r="CM4" s="332" t="s">
        <v>29</v>
      </c>
      <c r="CN4" s="332" t="s">
        <v>30</v>
      </c>
      <c r="CO4" s="332"/>
      <c r="CP4" s="216" t="s">
        <v>27</v>
      </c>
      <c r="CQ4" s="216" t="s">
        <v>28</v>
      </c>
      <c r="CR4" s="216" t="s">
        <v>29</v>
      </c>
      <c r="CS4" s="216" t="s">
        <v>30</v>
      </c>
      <c r="CT4" s="332"/>
      <c r="CU4" s="216" t="s">
        <v>27</v>
      </c>
      <c r="CV4" s="449" t="s">
        <v>28</v>
      </c>
      <c r="CW4" s="449" t="s">
        <v>29</v>
      </c>
      <c r="CX4" s="216" t="s">
        <v>30</v>
      </c>
      <c r="CY4" s="332"/>
      <c r="CZ4" s="332" t="s">
        <v>27</v>
      </c>
      <c r="DA4" s="332" t="s">
        <v>28</v>
      </c>
      <c r="DB4" s="332" t="s">
        <v>29</v>
      </c>
      <c r="DC4" s="450" t="s">
        <v>30</v>
      </c>
      <c r="DD4" s="172"/>
      <c r="DE4" s="157"/>
    </row>
    <row r="5" spans="1:109" s="177" customFormat="1" ht="10.5" customHeight="1" x14ac:dyDescent="0.2">
      <c r="A5" s="312"/>
      <c r="B5" s="173"/>
      <c r="C5" s="173"/>
      <c r="D5" s="173"/>
      <c r="E5" s="160"/>
      <c r="F5" s="173"/>
      <c r="G5" s="161"/>
      <c r="H5" s="173"/>
      <c r="I5"/>
      <c r="J5" s="161" t="s">
        <v>93</v>
      </c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3"/>
      <c r="BG5" s="173"/>
      <c r="BH5" s="173"/>
      <c r="BI5" s="173"/>
      <c r="BJ5" s="173"/>
      <c r="BK5" s="173"/>
      <c r="BL5" s="234"/>
      <c r="BM5" s="173"/>
      <c r="BN5" s="173"/>
      <c r="BO5" s="173"/>
      <c r="BP5" s="173"/>
      <c r="BQ5" s="234"/>
      <c r="BR5" s="176"/>
      <c r="BS5" s="173"/>
      <c r="BT5" s="173"/>
      <c r="BU5" s="173"/>
      <c r="BV5" s="173"/>
      <c r="BW5" s="173"/>
      <c r="BX5" s="176"/>
      <c r="BY5" s="173"/>
      <c r="BZ5" s="176"/>
      <c r="CA5" s="176"/>
      <c r="CB5" s="176"/>
      <c r="CC5" s="176"/>
      <c r="CD5" s="176"/>
      <c r="CE5" s="173"/>
      <c r="CF5" s="176"/>
      <c r="CG5" s="176"/>
      <c r="CH5" s="176"/>
      <c r="CI5" s="176"/>
      <c r="CJ5" s="176"/>
      <c r="CK5" s="176"/>
      <c r="CL5" s="176"/>
      <c r="CM5" s="378"/>
      <c r="CN5" s="378"/>
      <c r="CO5" s="378"/>
      <c r="CP5" s="378"/>
      <c r="CQ5" s="378"/>
      <c r="CR5" s="378"/>
      <c r="CS5" s="378"/>
      <c r="CT5" s="378"/>
      <c r="CU5" s="378"/>
      <c r="CV5" s="378"/>
      <c r="CW5" s="275"/>
      <c r="CX5" s="275"/>
      <c r="CY5" s="378"/>
      <c r="CZ5" s="378"/>
      <c r="DA5" s="378"/>
      <c r="DB5" s="378"/>
      <c r="DC5" s="452"/>
      <c r="DD5" s="366"/>
    </row>
    <row r="6" spans="1:109" x14ac:dyDescent="0.2">
      <c r="A6" s="178" t="s">
        <v>94</v>
      </c>
      <c r="B6" s="179">
        <f t="shared" ref="B6:B15" si="0">AVERAGEA(Y6:AC6)</f>
        <v>98.269872895680479</v>
      </c>
      <c r="C6" s="179">
        <f t="shared" ref="C6:C15" si="1">AVERAGEA(AD6:AH6)</f>
        <v>103.55376743525122</v>
      </c>
      <c r="D6" s="179">
        <f t="shared" ref="D6:D15" si="2">AVERAGEA(AI6:AM6)</f>
        <v>134.35617708819885</v>
      </c>
      <c r="E6" s="179">
        <f t="shared" ref="E6:E15" si="3">AVERAGEA(AN6:AR6)</f>
        <v>144.68816632206978</v>
      </c>
      <c r="F6" s="179">
        <f t="shared" ref="F6:F15" si="4">AVERAGEA(AS6:AW6)</f>
        <v>159.63513725542759</v>
      </c>
      <c r="G6" s="265">
        <f t="shared" ref="G6:G15" si="5">AVERAGEA(AX6:BB6)</f>
        <v>165.96947579647417</v>
      </c>
      <c r="H6" s="265">
        <f t="shared" ref="H6:H15" si="6">AVERAGEA(BC6:BG6)</f>
        <v>149.57016249451965</v>
      </c>
      <c r="I6" s="265">
        <f t="shared" ref="I6:I15" si="7">AVERAGEA(BH6:BL6)</f>
        <v>85.581085715378578</v>
      </c>
      <c r="J6" s="265">
        <f t="shared" ref="J6:J15" si="8">AVERAGEA(BM6:BQ6)</f>
        <v>93.013303682138982</v>
      </c>
      <c r="K6" s="265">
        <f t="shared" ref="K6:K15" si="9">AVERAGEA(BR6:BV6)</f>
        <v>95.856548583879032</v>
      </c>
      <c r="L6" s="263">
        <f t="shared" ref="L6:L15" si="10">AVERAGEA(BW6:CA6)</f>
        <v>98.130011041624229</v>
      </c>
      <c r="M6" s="263">
        <f t="shared" ref="M6:M15" si="11">AVERAGEA(CC6:CG6)</f>
        <v>98.462323719907516</v>
      </c>
      <c r="N6" s="263">
        <f t="shared" ref="N6:N15" si="12">AVERAGEA(CH6:CL6)</f>
        <v>101.25782553588414</v>
      </c>
      <c r="O6" s="263">
        <f>AVERAGEA(CM6:CQ6)</f>
        <v>103.11009424099088</v>
      </c>
      <c r="P6" s="263">
        <f>AVERAGEA(CR6:CV6)</f>
        <v>106.06471539999504</v>
      </c>
      <c r="Q6" s="263">
        <f>AVERAGEA(CW6:DA6)</f>
        <v>110.22499999999999</v>
      </c>
      <c r="R6" s="179">
        <v>85.036423791493547</v>
      </c>
      <c r="S6" s="179">
        <v>88.69436253984739</v>
      </c>
      <c r="T6" s="179">
        <v>90.734879919856823</v>
      </c>
      <c r="U6" s="179">
        <v>89.927054501755521</v>
      </c>
      <c r="V6" s="179"/>
      <c r="W6" s="179">
        <v>91.52330210309556</v>
      </c>
      <c r="X6" s="179">
        <v>92.171404912276628</v>
      </c>
      <c r="Y6" s="179">
        <v>99.572827577733165</v>
      </c>
      <c r="Z6" s="179">
        <v>99.935155659691688</v>
      </c>
      <c r="AA6" s="179"/>
      <c r="AB6" s="179">
        <v>96.538259709070473</v>
      </c>
      <c r="AC6" s="179">
        <v>97.033248636226574</v>
      </c>
      <c r="AD6" s="179">
        <v>98.787502619912374</v>
      </c>
      <c r="AE6" s="179">
        <v>101.61568668248417</v>
      </c>
      <c r="AF6" s="179"/>
      <c r="AG6" s="179">
        <v>104.57142932336396</v>
      </c>
      <c r="AH6" s="179">
        <v>109.24045111524434</v>
      </c>
      <c r="AI6" s="179">
        <v>124.07425647851414</v>
      </c>
      <c r="AJ6" s="179">
        <v>135.01884795210793</v>
      </c>
      <c r="AK6" s="179"/>
      <c r="AL6" s="179">
        <v>139.25021284365715</v>
      </c>
      <c r="AM6" s="179">
        <v>139.08139107851616</v>
      </c>
      <c r="AN6" s="179">
        <v>145.75230293426833</v>
      </c>
      <c r="AO6" s="179">
        <v>147.41761113009611</v>
      </c>
      <c r="AP6" s="179"/>
      <c r="AQ6" s="179">
        <v>142.94906485167562</v>
      </c>
      <c r="AR6" s="179">
        <v>142.633686372239</v>
      </c>
      <c r="AS6" s="179">
        <v>151.7220021929655</v>
      </c>
      <c r="AT6" s="179">
        <v>161.22927604916313</v>
      </c>
      <c r="AU6" s="179"/>
      <c r="AV6" s="179">
        <v>163.62659860302094</v>
      </c>
      <c r="AW6" s="179">
        <v>161.96267217656077</v>
      </c>
      <c r="AX6" s="179">
        <v>162.47</v>
      </c>
      <c r="AY6" s="179">
        <v>165.21</v>
      </c>
      <c r="AZ6" s="179"/>
      <c r="BA6" s="179">
        <v>167.61727493775894</v>
      </c>
      <c r="BB6" s="179">
        <v>168.58062824813774</v>
      </c>
      <c r="BC6" s="179">
        <v>170.9639236141021</v>
      </c>
      <c r="BD6" s="179">
        <v>173.46752583025781</v>
      </c>
      <c r="BE6" s="179"/>
      <c r="BF6" s="179">
        <v>176.64185695409688</v>
      </c>
      <c r="BG6" s="286">
        <v>77.207343579621764</v>
      </c>
      <c r="BH6" s="286">
        <v>82.531074837036599</v>
      </c>
      <c r="BI6" s="286">
        <v>85.436915468234091</v>
      </c>
      <c r="BJ6" s="179"/>
      <c r="BK6" s="286">
        <v>87.587588948491842</v>
      </c>
      <c r="BL6" s="286">
        <v>86.768763607751808</v>
      </c>
      <c r="BM6" s="286">
        <v>89.896121261424256</v>
      </c>
      <c r="BN6" s="286">
        <v>91.470018622141424</v>
      </c>
      <c r="BO6" s="179"/>
      <c r="BP6" s="286">
        <v>94.874084206421514</v>
      </c>
      <c r="BQ6" s="286">
        <v>95.812990638568749</v>
      </c>
      <c r="BR6" s="286">
        <v>97.645974008510109</v>
      </c>
      <c r="BS6" s="286">
        <v>95.6230671004854</v>
      </c>
      <c r="BT6" s="263"/>
      <c r="BU6" s="286">
        <v>96.927582016557992</v>
      </c>
      <c r="BV6" s="286">
        <v>93.2295712099626</v>
      </c>
      <c r="BW6" s="286">
        <v>97.683783023330363</v>
      </c>
      <c r="BX6" s="286">
        <v>99.804631148542697</v>
      </c>
      <c r="BY6" s="263"/>
      <c r="BZ6" s="286">
        <v>97.235350932578285</v>
      </c>
      <c r="CA6" s="286">
        <v>97.796279062045599</v>
      </c>
      <c r="CB6" s="286"/>
      <c r="CC6" s="286">
        <v>99.128313256876865</v>
      </c>
      <c r="CD6" s="286">
        <v>97.412287934289608</v>
      </c>
      <c r="CE6" s="263"/>
      <c r="CF6" s="286">
        <v>98.195101645866785</v>
      </c>
      <c r="CG6" s="286">
        <v>99.113592042596778</v>
      </c>
      <c r="CH6" s="286">
        <v>99.891857337269286</v>
      </c>
      <c r="CI6" s="286">
        <v>100.0886594181639</v>
      </c>
      <c r="CJ6" s="286"/>
      <c r="CK6" s="286">
        <v>102.22704236215777</v>
      </c>
      <c r="CL6" s="286">
        <v>102.8237430259456</v>
      </c>
      <c r="CM6" s="286">
        <v>102.24241551182331</v>
      </c>
      <c r="CN6" s="286">
        <v>101.93419069821904</v>
      </c>
      <c r="CO6" s="286"/>
      <c r="CP6" s="286">
        <v>103.45274365173871</v>
      </c>
      <c r="CQ6" s="286">
        <v>104.81102710218244</v>
      </c>
      <c r="CR6" s="286">
        <v>104.59219493331348</v>
      </c>
      <c r="CS6" s="286">
        <v>105</v>
      </c>
      <c r="CT6" s="286"/>
      <c r="CU6" s="286">
        <v>106.4</v>
      </c>
      <c r="CV6" s="286">
        <v>108.26666666666667</v>
      </c>
      <c r="CW6" s="286">
        <v>108.3</v>
      </c>
      <c r="CX6" s="286">
        <v>108.6</v>
      </c>
      <c r="CY6" s="286"/>
      <c r="CZ6" s="286">
        <v>111.03333333333335</v>
      </c>
      <c r="DA6" s="286">
        <v>112.96666666666665</v>
      </c>
      <c r="DB6" s="286">
        <v>112.73333333333333</v>
      </c>
      <c r="DC6" s="368">
        <v>114.09999999999998</v>
      </c>
      <c r="DD6" s="286"/>
    </row>
    <row r="7" spans="1:109" x14ac:dyDescent="0.2">
      <c r="A7" s="178" t="s">
        <v>95</v>
      </c>
      <c r="B7" s="179">
        <f t="shared" si="0"/>
        <v>103.09284635846804</v>
      </c>
      <c r="C7" s="179">
        <f t="shared" si="1"/>
        <v>104.45785352994608</v>
      </c>
      <c r="D7" s="179">
        <f t="shared" si="2"/>
        <v>137.79211398902851</v>
      </c>
      <c r="E7" s="179">
        <f t="shared" si="3"/>
        <v>147.20852143349728</v>
      </c>
      <c r="F7" s="179">
        <f t="shared" si="4"/>
        <v>171.9872880753307</v>
      </c>
      <c r="G7" s="265">
        <f t="shared" si="5"/>
        <v>171.78262825250513</v>
      </c>
      <c r="H7" s="265">
        <f t="shared" si="6"/>
        <v>158.69988008786189</v>
      </c>
      <c r="I7" s="265">
        <f t="shared" si="7"/>
        <v>80.705454437672159</v>
      </c>
      <c r="J7" s="265">
        <f t="shared" si="8"/>
        <v>92.637709042158704</v>
      </c>
      <c r="K7" s="265">
        <f t="shared" si="9"/>
        <v>94.638070333582775</v>
      </c>
      <c r="L7" s="263">
        <f t="shared" si="10"/>
        <v>98.486474813338276</v>
      </c>
      <c r="M7" s="263">
        <f t="shared" si="11"/>
        <v>101.69869772304912</v>
      </c>
      <c r="N7" s="263">
        <f t="shared" si="12"/>
        <v>102.91085958581446</v>
      </c>
      <c r="O7" s="263">
        <f t="shared" ref="O7:O15" si="13">AVERAGEA(CM7:CQ7)</f>
        <v>104.35172956203506</v>
      </c>
      <c r="P7" s="263">
        <f t="shared" ref="P7:P15" si="14">AVERAGEA(CR7:CV7)</f>
        <v>111.55353498375494</v>
      </c>
      <c r="Q7" s="263">
        <f t="shared" ref="Q7:Q15" si="15">AVERAGEA(CW7:DA7)</f>
        <v>118.41666666666667</v>
      </c>
      <c r="R7" s="179">
        <v>87.409623492582213</v>
      </c>
      <c r="S7" s="179">
        <v>95.033228062140168</v>
      </c>
      <c r="T7" s="179">
        <v>97.930655010637324</v>
      </c>
      <c r="U7" s="179">
        <v>94.471086624149038</v>
      </c>
      <c r="V7" s="179"/>
      <c r="W7" s="179">
        <v>96.852331803416789</v>
      </c>
      <c r="X7" s="179">
        <v>96.287030692336202</v>
      </c>
      <c r="Y7" s="179">
        <v>110.08842797077153</v>
      </c>
      <c r="Z7" s="179">
        <v>109.31028069236102</v>
      </c>
      <c r="AA7" s="179"/>
      <c r="AB7" s="179">
        <v>97.621242992434617</v>
      </c>
      <c r="AC7" s="179">
        <v>95.351433778304965</v>
      </c>
      <c r="AD7" s="179">
        <v>100.07317035310858</v>
      </c>
      <c r="AE7" s="179">
        <v>103.99180663102868</v>
      </c>
      <c r="AF7" s="179"/>
      <c r="AG7" s="179">
        <v>107.14139969951839</v>
      </c>
      <c r="AH7" s="179">
        <v>106.62503743612868</v>
      </c>
      <c r="AI7" s="179">
        <v>125.30105198171437</v>
      </c>
      <c r="AJ7" s="179">
        <v>139.20644226594979</v>
      </c>
      <c r="AK7" s="179"/>
      <c r="AL7" s="179">
        <v>143.06577423215577</v>
      </c>
      <c r="AM7" s="179">
        <v>143.59518747629411</v>
      </c>
      <c r="AN7" s="179">
        <v>148.4320899614913</v>
      </c>
      <c r="AO7" s="179">
        <v>154.8135813588398</v>
      </c>
      <c r="AP7" s="179"/>
      <c r="AQ7" s="179">
        <v>143.03524109910811</v>
      </c>
      <c r="AR7" s="179">
        <v>142.55317331454989</v>
      </c>
      <c r="AS7" s="179">
        <v>158.9754262854201</v>
      </c>
      <c r="AT7" s="179">
        <v>175.60435366208262</v>
      </c>
      <c r="AU7" s="179"/>
      <c r="AV7" s="179">
        <v>183.86245258831838</v>
      </c>
      <c r="AW7" s="179">
        <v>169.50691976550155</v>
      </c>
      <c r="AX7" s="179">
        <v>162.02000000000001</v>
      </c>
      <c r="AY7" s="179">
        <v>170.27</v>
      </c>
      <c r="AZ7" s="179"/>
      <c r="BA7" s="179">
        <v>176.54036685182345</v>
      </c>
      <c r="BB7" s="179">
        <v>178.30014615819709</v>
      </c>
      <c r="BC7" s="179">
        <v>186.18002206239112</v>
      </c>
      <c r="BD7" s="179">
        <v>187.8697517245885</v>
      </c>
      <c r="BE7" s="179"/>
      <c r="BF7" s="179">
        <v>191.33621525721517</v>
      </c>
      <c r="BG7" s="286">
        <v>69.413531307252768</v>
      </c>
      <c r="BH7" s="286">
        <v>76.501391133080446</v>
      </c>
      <c r="BI7" s="286">
        <v>80.277499430052671</v>
      </c>
      <c r="BJ7" s="179"/>
      <c r="BK7" s="286">
        <v>83.325776362976271</v>
      </c>
      <c r="BL7" s="286">
        <v>82.717150824579235</v>
      </c>
      <c r="BM7" s="286">
        <v>88.18069131599195</v>
      </c>
      <c r="BN7" s="286">
        <v>89.291636858382859</v>
      </c>
      <c r="BO7" s="179"/>
      <c r="BP7" s="286">
        <v>95.544833465247379</v>
      </c>
      <c r="BQ7" s="286">
        <v>97.5336745290126</v>
      </c>
      <c r="BR7" s="286">
        <v>99.855987892909482</v>
      </c>
      <c r="BS7" s="286">
        <v>94.454855779445737</v>
      </c>
      <c r="BT7" s="263"/>
      <c r="BU7" s="286">
        <v>95.597083038690926</v>
      </c>
      <c r="BV7" s="286">
        <v>88.644354623284997</v>
      </c>
      <c r="BW7" s="286">
        <v>97.263890337372189</v>
      </c>
      <c r="BX7" s="286">
        <v>100.76373185259581</v>
      </c>
      <c r="BY7" s="263"/>
      <c r="BZ7" s="286">
        <v>96.941776386269467</v>
      </c>
      <c r="CA7" s="286">
        <v>98.976500677115652</v>
      </c>
      <c r="CB7" s="286"/>
      <c r="CC7" s="286">
        <v>104.11605720224186</v>
      </c>
      <c r="CD7" s="286">
        <v>100.48251703015785</v>
      </c>
      <c r="CE7" s="263"/>
      <c r="CF7" s="286">
        <v>100.83805393526416</v>
      </c>
      <c r="CG7" s="286">
        <v>101.35816272453262</v>
      </c>
      <c r="CH7" s="286">
        <v>101.84803240881449</v>
      </c>
      <c r="CI7" s="286">
        <v>100.26013000595934</v>
      </c>
      <c r="CJ7" s="286"/>
      <c r="CK7" s="286">
        <v>104.43138648700945</v>
      </c>
      <c r="CL7" s="286">
        <v>105.10388944147458</v>
      </c>
      <c r="CM7" s="286">
        <v>103.1922868733166</v>
      </c>
      <c r="CN7" s="286">
        <v>102.07164498566975</v>
      </c>
      <c r="CO7" s="286"/>
      <c r="CP7" s="286">
        <v>104.6980811605016</v>
      </c>
      <c r="CQ7" s="286">
        <v>107.44490522865233</v>
      </c>
      <c r="CR7" s="286">
        <v>107.32368828241981</v>
      </c>
      <c r="CS7" s="286">
        <v>109.60781965259999</v>
      </c>
      <c r="CT7" s="286"/>
      <c r="CU7" s="286">
        <v>113.28263199999999</v>
      </c>
      <c r="CV7" s="286">
        <v>116</v>
      </c>
      <c r="CW7" s="286">
        <v>114.66666666666667</v>
      </c>
      <c r="CX7" s="286">
        <v>116</v>
      </c>
      <c r="CY7" s="286"/>
      <c r="CZ7" s="286">
        <v>121.3</v>
      </c>
      <c r="DA7" s="286">
        <v>121.7</v>
      </c>
      <c r="DB7" s="286">
        <v>118.46666666666665</v>
      </c>
      <c r="DC7" s="368">
        <v>115.93333333333334</v>
      </c>
      <c r="DD7" s="286"/>
    </row>
    <row r="8" spans="1:109" x14ac:dyDescent="0.2">
      <c r="A8" s="178" t="s">
        <v>96</v>
      </c>
      <c r="B8" s="179">
        <f t="shared" si="0"/>
        <v>94.544506296809843</v>
      </c>
      <c r="C8" s="179">
        <f t="shared" si="1"/>
        <v>102.85543223484704</v>
      </c>
      <c r="D8" s="179">
        <f t="shared" si="2"/>
        <v>131.70218683406631</v>
      </c>
      <c r="E8" s="179">
        <f t="shared" si="3"/>
        <v>142.74139078580581</v>
      </c>
      <c r="F8" s="179">
        <f t="shared" si="4"/>
        <v>150.09407499503453</v>
      </c>
      <c r="G8" s="265">
        <f t="shared" si="5"/>
        <v>161.46982031211365</v>
      </c>
      <c r="H8" s="265">
        <f t="shared" si="6"/>
        <v>143.05463132433277</v>
      </c>
      <c r="I8" s="265">
        <f t="shared" si="7"/>
        <v>90.737757023154145</v>
      </c>
      <c r="J8" s="265">
        <f t="shared" si="8"/>
        <v>93.4105482629992</v>
      </c>
      <c r="K8" s="265">
        <f t="shared" si="9"/>
        <v>97.145262080566454</v>
      </c>
      <c r="L8" s="263">
        <f t="shared" si="10"/>
        <v>97.753000066191461</v>
      </c>
      <c r="M8" s="263">
        <f t="shared" si="11"/>
        <v>95.039399381978342</v>
      </c>
      <c r="N8" s="263">
        <f t="shared" si="12"/>
        <v>99.769164712555138</v>
      </c>
      <c r="O8" s="263">
        <f>AVERAGEA(CM8:CQ8)</f>
        <v>102.04556624933926</v>
      </c>
      <c r="P8" s="263">
        <f t="shared" si="14"/>
        <v>101.42264955998969</v>
      </c>
      <c r="Q8" s="263">
        <f t="shared" si="15"/>
        <v>103.30833333333334</v>
      </c>
      <c r="R8" s="179">
        <v>83.203314203165903</v>
      </c>
      <c r="S8" s="179">
        <v>83.798088887569506</v>
      </c>
      <c r="T8" s="179">
        <v>85.176711212727866</v>
      </c>
      <c r="U8" s="179">
        <v>86.417148087471375</v>
      </c>
      <c r="V8" s="179"/>
      <c r="W8" s="179">
        <v>87.407046974772285</v>
      </c>
      <c r="X8" s="179">
        <v>88.992408607863382</v>
      </c>
      <c r="Y8" s="179">
        <v>91.450355668328484</v>
      </c>
      <c r="Z8" s="179">
        <v>92.69361101375533</v>
      </c>
      <c r="AA8" s="179"/>
      <c r="AB8" s="179">
        <v>95.701740540530821</v>
      </c>
      <c r="AC8" s="179">
        <v>98.332317964624735</v>
      </c>
      <c r="AD8" s="179">
        <v>97.794425700155358</v>
      </c>
      <c r="AE8" s="179">
        <v>99.780321433324801</v>
      </c>
      <c r="AF8" s="179"/>
      <c r="AG8" s="179">
        <v>102.58632990839035</v>
      </c>
      <c r="AH8" s="179">
        <v>111.26065189751766</v>
      </c>
      <c r="AI8" s="179">
        <v>123.12665371301489</v>
      </c>
      <c r="AJ8" s="179">
        <v>131.78426163170329</v>
      </c>
      <c r="AK8" s="179"/>
      <c r="AL8" s="179">
        <v>136.30299261482395</v>
      </c>
      <c r="AM8" s="179">
        <v>135.59483937672317</v>
      </c>
      <c r="AN8" s="179">
        <v>143.68237881788446</v>
      </c>
      <c r="AO8" s="179">
        <v>141.70480746882973</v>
      </c>
      <c r="AP8" s="179"/>
      <c r="AQ8" s="179">
        <v>142.88250049749078</v>
      </c>
      <c r="AR8" s="179">
        <v>142.69587635901829</v>
      </c>
      <c r="AS8" s="179">
        <v>146.11930417897801</v>
      </c>
      <c r="AT8" s="179">
        <v>150.12566239494416</v>
      </c>
      <c r="AU8" s="179"/>
      <c r="AV8" s="179">
        <v>147.99599745663207</v>
      </c>
      <c r="AW8" s="179">
        <v>156.13533594958386</v>
      </c>
      <c r="AX8" s="179">
        <v>162.82</v>
      </c>
      <c r="AY8" s="179">
        <v>161.29</v>
      </c>
      <c r="AZ8" s="179"/>
      <c r="BA8" s="179">
        <v>160.71630029295508</v>
      </c>
      <c r="BB8" s="179">
        <v>161.05298095549946</v>
      </c>
      <c r="BC8" s="179">
        <v>159.16341944709282</v>
      </c>
      <c r="BD8" s="179">
        <v>162.33841742888924</v>
      </c>
      <c r="BE8" s="179"/>
      <c r="BF8" s="179">
        <v>165.26628341358347</v>
      </c>
      <c r="BG8" s="286">
        <v>85.450405007765497</v>
      </c>
      <c r="BH8" s="286">
        <v>88.908320198744832</v>
      </c>
      <c r="BI8" s="286">
        <v>90.893729393154743</v>
      </c>
      <c r="BJ8" s="179"/>
      <c r="BK8" s="286">
        <v>92.095059966518193</v>
      </c>
      <c r="BL8" s="286">
        <v>91.053918534198829</v>
      </c>
      <c r="BM8" s="286">
        <v>91.710431629921061</v>
      </c>
      <c r="BN8" s="286">
        <v>93.77396617246562</v>
      </c>
      <c r="BO8" s="179"/>
      <c r="BP8" s="286">
        <v>94.16467177125368</v>
      </c>
      <c r="BQ8" s="286">
        <v>93.993123478356452</v>
      </c>
      <c r="BR8" s="286">
        <v>95.308571006036189</v>
      </c>
      <c r="BS8" s="286">
        <v>96.858616193003726</v>
      </c>
      <c r="BT8" s="263"/>
      <c r="BU8" s="286">
        <v>98.33477331413701</v>
      </c>
      <c r="BV8" s="286">
        <v>98.079087809088904</v>
      </c>
      <c r="BW8" s="286">
        <v>98.127879068067401</v>
      </c>
      <c r="BX8" s="286">
        <v>98.790246179673034</v>
      </c>
      <c r="BY8" s="263"/>
      <c r="BZ8" s="286">
        <v>97.545847636167494</v>
      </c>
      <c r="CA8" s="286">
        <v>96.54802738085796</v>
      </c>
      <c r="CB8" s="286"/>
      <c r="CC8" s="286">
        <v>93.853066908532696</v>
      </c>
      <c r="CD8" s="286">
        <v>94.165085390620618</v>
      </c>
      <c r="CE8" s="263"/>
      <c r="CF8" s="286">
        <v>95.399804901243897</v>
      </c>
      <c r="CG8" s="286">
        <v>96.739640327516142</v>
      </c>
      <c r="CH8" s="286">
        <v>97.822924866812329</v>
      </c>
      <c r="CI8" s="286">
        <v>99.99395268563201</v>
      </c>
      <c r="CJ8" s="286"/>
      <c r="CK8" s="286">
        <v>100.36358038837209</v>
      </c>
      <c r="CL8" s="286">
        <v>100.89620090940413</v>
      </c>
      <c r="CM8" s="286">
        <v>101.4394332813378</v>
      </c>
      <c r="CN8" s="286">
        <v>101.75839051090811</v>
      </c>
      <c r="CO8" s="286"/>
      <c r="CP8" s="286">
        <v>102.39998647741817</v>
      </c>
      <c r="CQ8" s="286">
        <v>102.58445472769297</v>
      </c>
      <c r="CR8" s="286">
        <v>102.21230853995871</v>
      </c>
      <c r="CS8" s="286">
        <v>101.21162303333334</v>
      </c>
      <c r="CT8" s="286"/>
      <c r="CU8" s="286">
        <v>100.6</v>
      </c>
      <c r="CV8" s="286">
        <v>101.66666666666667</v>
      </c>
      <c r="CW8" s="286">
        <v>102.93333333333334</v>
      </c>
      <c r="CX8" s="286">
        <v>102.36666666666667</v>
      </c>
      <c r="CY8" s="286"/>
      <c r="CZ8" s="286">
        <v>102.33333333333333</v>
      </c>
      <c r="DA8" s="286">
        <v>105.6</v>
      </c>
      <c r="DB8" s="286">
        <v>107.83333333333333</v>
      </c>
      <c r="DC8" s="368">
        <v>112.53333333333335</v>
      </c>
      <c r="DD8" s="286"/>
    </row>
    <row r="9" spans="1:109" x14ac:dyDescent="0.2">
      <c r="A9" s="178" t="s">
        <v>112</v>
      </c>
      <c r="B9" s="179">
        <f t="shared" si="0"/>
        <v>106.36110506520937</v>
      </c>
      <c r="C9" s="179">
        <f t="shared" si="1"/>
        <v>101.65530848352292</v>
      </c>
      <c r="D9" s="179">
        <f t="shared" si="2"/>
        <v>139.86255706205841</v>
      </c>
      <c r="E9" s="179">
        <f t="shared" si="3"/>
        <v>148.27029974499118</v>
      </c>
      <c r="F9" s="179">
        <f t="shared" si="4"/>
        <v>169.38078992874313</v>
      </c>
      <c r="G9" s="265">
        <f t="shared" si="5"/>
        <v>167.86647931175432</v>
      </c>
      <c r="H9" s="265">
        <f t="shared" si="6"/>
        <v>145.94077168979808</v>
      </c>
      <c r="I9" s="265">
        <f t="shared" si="7"/>
        <v>86.705315496275915</v>
      </c>
      <c r="J9" s="265">
        <f t="shared" si="8"/>
        <v>95.63652378705801</v>
      </c>
      <c r="K9" s="265">
        <f t="shared" si="9"/>
        <v>97.922010357320843</v>
      </c>
      <c r="L9" s="263">
        <f t="shared" si="10"/>
        <v>96.397492824133636</v>
      </c>
      <c r="M9" s="263">
        <f t="shared" si="11"/>
        <v>97.017369970572076</v>
      </c>
      <c r="N9" s="263">
        <f t="shared" si="12"/>
        <v>102.63457486814202</v>
      </c>
      <c r="O9" s="263">
        <f t="shared" si="13"/>
        <v>107.42531592398562</v>
      </c>
      <c r="P9" s="263">
        <f t="shared" si="14"/>
        <v>111.76113278689579</v>
      </c>
      <c r="Q9" s="263">
        <f t="shared" si="15"/>
        <v>120.76666666666667</v>
      </c>
      <c r="R9" s="179">
        <v>91.487948957229221</v>
      </c>
      <c r="S9" s="179">
        <v>97.622859789044341</v>
      </c>
      <c r="T9" s="179">
        <v>100.88294452966963</v>
      </c>
      <c r="U9" s="179">
        <v>97.755904082744308</v>
      </c>
      <c r="V9" s="179"/>
      <c r="W9" s="179">
        <v>98.963053553221016</v>
      </c>
      <c r="X9" s="179">
        <v>98.77010687304923</v>
      </c>
      <c r="Y9" s="179">
        <v>112.4296307154889</v>
      </c>
      <c r="Z9" s="179">
        <v>112.16510383341038</v>
      </c>
      <c r="AA9" s="179"/>
      <c r="AB9" s="179">
        <v>101.08309121733446</v>
      </c>
      <c r="AC9" s="179">
        <v>99.766594494603737</v>
      </c>
      <c r="AD9" s="179">
        <v>97.41227505341169</v>
      </c>
      <c r="AE9" s="179">
        <v>99.367373826769622</v>
      </c>
      <c r="AF9" s="179"/>
      <c r="AG9" s="179">
        <v>102.77923281099285</v>
      </c>
      <c r="AH9" s="179">
        <v>107.06235224291748</v>
      </c>
      <c r="AI9" s="179">
        <v>124.52505653307904</v>
      </c>
      <c r="AJ9" s="179">
        <v>142.14615828977151</v>
      </c>
      <c r="AK9" s="179"/>
      <c r="AL9" s="179">
        <v>148.41038861667678</v>
      </c>
      <c r="AM9" s="179">
        <v>144.36862480870641</v>
      </c>
      <c r="AN9" s="179">
        <v>151.68232739750903</v>
      </c>
      <c r="AO9" s="179">
        <v>154.59360834370821</v>
      </c>
      <c r="AP9" s="179"/>
      <c r="AQ9" s="179">
        <v>144.88565963263272</v>
      </c>
      <c r="AR9" s="179">
        <v>141.91960360611472</v>
      </c>
      <c r="AS9" s="179">
        <v>157.53746230847651</v>
      </c>
      <c r="AT9" s="179">
        <v>175.42892091279771</v>
      </c>
      <c r="AU9" s="179"/>
      <c r="AV9" s="179">
        <v>174.70623324767814</v>
      </c>
      <c r="AW9" s="179">
        <v>169.85054324602012</v>
      </c>
      <c r="AX9" s="179">
        <v>166.62</v>
      </c>
      <c r="AY9" s="179">
        <v>168.87</v>
      </c>
      <c r="AZ9" s="179"/>
      <c r="BA9" s="179">
        <v>170.60618204988563</v>
      </c>
      <c r="BB9" s="179">
        <v>165.36973519713158</v>
      </c>
      <c r="BC9" s="179">
        <v>166.01398526926815</v>
      </c>
      <c r="BD9" s="179">
        <v>168.02625872165839</v>
      </c>
      <c r="BE9" s="179"/>
      <c r="BF9" s="179">
        <v>169.42783933140612</v>
      </c>
      <c r="BG9" s="286">
        <v>80.295003436859673</v>
      </c>
      <c r="BH9" s="286">
        <v>85.797068489287653</v>
      </c>
      <c r="BI9" s="286">
        <v>87.405983494170457</v>
      </c>
      <c r="BJ9" s="179"/>
      <c r="BK9" s="286">
        <v>88.16115341748116</v>
      </c>
      <c r="BL9" s="286">
        <v>85.457056584164377</v>
      </c>
      <c r="BM9" s="286">
        <v>90.703052737696154</v>
      </c>
      <c r="BN9" s="286">
        <v>92.950220036795386</v>
      </c>
      <c r="BO9" s="179"/>
      <c r="BP9" s="286">
        <v>98.287606623862033</v>
      </c>
      <c r="BQ9" s="286">
        <v>100.60521574987848</v>
      </c>
      <c r="BR9" s="286">
        <v>103.8177839995883</v>
      </c>
      <c r="BS9" s="286">
        <v>98.472222295639128</v>
      </c>
      <c r="BT9" s="288"/>
      <c r="BU9" s="286">
        <v>98.906087478345668</v>
      </c>
      <c r="BV9" s="286">
        <v>90.491947655710263</v>
      </c>
      <c r="BW9" s="286">
        <v>97.496968512213584</v>
      </c>
      <c r="BX9" s="286">
        <v>98.894148662517125</v>
      </c>
      <c r="BY9" s="288"/>
      <c r="BZ9" s="286">
        <v>94.013321226635071</v>
      </c>
      <c r="CA9" s="286">
        <v>95.185532895168777</v>
      </c>
      <c r="CB9" s="286"/>
      <c r="CC9" s="286">
        <v>98.32453726879379</v>
      </c>
      <c r="CD9" s="286">
        <v>94.680437775600055</v>
      </c>
      <c r="CE9" s="288"/>
      <c r="CF9" s="286">
        <v>96.604560914881731</v>
      </c>
      <c r="CG9" s="286">
        <v>98.459943923012688</v>
      </c>
      <c r="CH9" s="286">
        <v>100.05505722373226</v>
      </c>
      <c r="CI9" s="286">
        <v>100.00832567186342</v>
      </c>
      <c r="CJ9" s="286"/>
      <c r="CK9" s="286">
        <v>104.576549652523</v>
      </c>
      <c r="CL9" s="286">
        <v>105.89836692444942</v>
      </c>
      <c r="CM9" s="286">
        <v>106.3485822719709</v>
      </c>
      <c r="CN9" s="286">
        <v>106.51311279866091</v>
      </c>
      <c r="CO9" s="286"/>
      <c r="CP9" s="286">
        <v>107.33274355845499</v>
      </c>
      <c r="CQ9" s="286">
        <v>109.50682506685571</v>
      </c>
      <c r="CR9" s="286">
        <v>109.01119781424977</v>
      </c>
      <c r="CS9" s="286">
        <v>110.63333333333333</v>
      </c>
      <c r="CT9" s="286"/>
      <c r="CU9" s="286">
        <v>112.66666666666667</v>
      </c>
      <c r="CV9" s="286">
        <v>114.73333333333335</v>
      </c>
      <c r="CW9" s="286">
        <v>117.26666666666667</v>
      </c>
      <c r="CX9" s="286">
        <v>118.96666666666665</v>
      </c>
      <c r="CY9" s="286"/>
      <c r="CZ9" s="286">
        <v>123.03333333333335</v>
      </c>
      <c r="DA9" s="286">
        <v>123.8</v>
      </c>
      <c r="DB9" s="286">
        <v>121.43333333333334</v>
      </c>
      <c r="DC9" s="368">
        <v>120.56666666666666</v>
      </c>
      <c r="DD9" s="286"/>
    </row>
    <row r="10" spans="1:109" x14ac:dyDescent="0.2">
      <c r="A10" s="178" t="s">
        <v>113</v>
      </c>
      <c r="B10" s="179">
        <f t="shared" si="0"/>
        <v>78.905228211978567</v>
      </c>
      <c r="C10" s="179">
        <f t="shared" si="1"/>
        <v>88.075643323578419</v>
      </c>
      <c r="D10" s="179">
        <f t="shared" si="2"/>
        <v>108.728447246489</v>
      </c>
      <c r="E10" s="179">
        <f t="shared" si="3"/>
        <v>120.68924856793197</v>
      </c>
      <c r="F10" s="179">
        <f t="shared" si="4"/>
        <v>124.82438215731291</v>
      </c>
      <c r="G10" s="265">
        <f t="shared" si="5"/>
        <v>132.06587751910828</v>
      </c>
      <c r="H10" s="265">
        <f t="shared" si="6"/>
        <v>124.10101321713961</v>
      </c>
      <c r="I10" s="265">
        <f t="shared" si="7"/>
        <v>78.4193711602463</v>
      </c>
      <c r="J10" s="265">
        <f t="shared" si="8"/>
        <v>89.679885949226062</v>
      </c>
      <c r="K10" s="265">
        <f t="shared" si="9"/>
        <v>95.885706628642197</v>
      </c>
      <c r="L10" s="263">
        <f t="shared" si="10"/>
        <v>102.23142130616769</v>
      </c>
      <c r="M10" s="263">
        <f t="shared" si="11"/>
        <v>99.249249631224359</v>
      </c>
      <c r="N10" s="263">
        <f t="shared" si="12"/>
        <v>100.9147970165847</v>
      </c>
      <c r="O10" s="263">
        <f t="shared" si="13"/>
        <v>101.76005443180189</v>
      </c>
      <c r="P10" s="263">
        <f t="shared" si="14"/>
        <v>103.72253952977032</v>
      </c>
      <c r="Q10" s="263">
        <f t="shared" si="15"/>
        <v>104.74166666666666</v>
      </c>
      <c r="R10" s="179">
        <v>69.724309724828032</v>
      </c>
      <c r="S10" s="179">
        <v>70.747438544842183</v>
      </c>
      <c r="T10" s="179">
        <v>70.911961772181144</v>
      </c>
      <c r="U10" s="179">
        <v>74.806410643849787</v>
      </c>
      <c r="V10" s="179"/>
      <c r="W10" s="179">
        <v>75.093040953979383</v>
      </c>
      <c r="X10" s="179">
        <v>75.420802070943708</v>
      </c>
      <c r="Y10" s="179">
        <v>76.483409390266701</v>
      </c>
      <c r="Z10" s="179">
        <v>76.728908893561552</v>
      </c>
      <c r="AA10" s="179"/>
      <c r="AB10" s="179">
        <v>78.038668023705299</v>
      </c>
      <c r="AC10" s="179">
        <v>84.369926540380689</v>
      </c>
      <c r="AD10" s="179">
        <v>86.343896439675845</v>
      </c>
      <c r="AE10" s="179">
        <v>86.832876168927299</v>
      </c>
      <c r="AF10" s="179"/>
      <c r="AG10" s="179">
        <v>89.46071599462519</v>
      </c>
      <c r="AH10" s="179">
        <v>89.665084691085312</v>
      </c>
      <c r="AI10" s="179">
        <v>101.24535360127201</v>
      </c>
      <c r="AJ10" s="179">
        <v>107.4856619690552</v>
      </c>
      <c r="AK10" s="179"/>
      <c r="AL10" s="179">
        <v>112.27005590883319</v>
      </c>
      <c r="AM10" s="179">
        <v>113.91271750679562</v>
      </c>
      <c r="AN10" s="179">
        <v>122.1473433622912</v>
      </c>
      <c r="AO10" s="179">
        <v>119.44670590291061</v>
      </c>
      <c r="AP10" s="179"/>
      <c r="AQ10" s="179">
        <v>119.69648841693936</v>
      </c>
      <c r="AR10" s="179">
        <v>121.46645658958671</v>
      </c>
      <c r="AS10" s="179">
        <v>127.01641420467867</v>
      </c>
      <c r="AT10" s="179">
        <v>126.6899384254279</v>
      </c>
      <c r="AU10" s="179"/>
      <c r="AV10" s="179">
        <v>120.27843757242127</v>
      </c>
      <c r="AW10" s="179">
        <v>125.31273842672381</v>
      </c>
      <c r="AX10" s="179">
        <v>130.21</v>
      </c>
      <c r="AY10" s="179">
        <v>130.4</v>
      </c>
      <c r="AZ10" s="179"/>
      <c r="BA10" s="179">
        <v>132.7599783540459</v>
      </c>
      <c r="BB10" s="179">
        <v>134.89353172238722</v>
      </c>
      <c r="BC10" s="179">
        <v>141.10464613344266</v>
      </c>
      <c r="BD10" s="179">
        <v>144.30269434815133</v>
      </c>
      <c r="BE10" s="179"/>
      <c r="BF10" s="179">
        <v>149.12122027816977</v>
      </c>
      <c r="BG10" s="286">
        <v>61.875492108794646</v>
      </c>
      <c r="BH10" s="286">
        <v>73.824349856415623</v>
      </c>
      <c r="BI10" s="286">
        <v>75.702757513442748</v>
      </c>
      <c r="BJ10" s="179"/>
      <c r="BK10" s="286">
        <v>81.211554234008531</v>
      </c>
      <c r="BL10" s="286">
        <v>82.938823037118297</v>
      </c>
      <c r="BM10" s="286">
        <v>85.64790034751347</v>
      </c>
      <c r="BN10" s="286">
        <v>86.076340760075297</v>
      </c>
      <c r="BO10" s="179"/>
      <c r="BP10" s="286">
        <v>93.322505573095441</v>
      </c>
      <c r="BQ10" s="286">
        <v>93.672797116219996</v>
      </c>
      <c r="BR10" s="286">
        <v>95.480912778088381</v>
      </c>
      <c r="BS10" s="286">
        <v>96.626181611673175</v>
      </c>
      <c r="BT10" s="288"/>
      <c r="BU10" s="286">
        <v>95.313135687962586</v>
      </c>
      <c r="BV10" s="286">
        <v>96.122596436844674</v>
      </c>
      <c r="BW10" s="286">
        <v>101.41971197781577</v>
      </c>
      <c r="BX10" s="286">
        <v>105.86549624824629</v>
      </c>
      <c r="BY10" s="288"/>
      <c r="BZ10" s="286">
        <v>100.89599142601885</v>
      </c>
      <c r="CA10" s="286">
        <v>100.74448557258985</v>
      </c>
      <c r="CB10" s="286"/>
      <c r="CC10" s="286">
        <v>100.12700846658676</v>
      </c>
      <c r="CD10" s="286">
        <v>99.979767879643475</v>
      </c>
      <c r="CE10" s="288"/>
      <c r="CF10" s="286">
        <v>98.521330205107347</v>
      </c>
      <c r="CG10" s="286">
        <v>98.368891973559869</v>
      </c>
      <c r="CH10" s="286">
        <v>99.263769615011299</v>
      </c>
      <c r="CI10" s="286">
        <v>100.18638509978302</v>
      </c>
      <c r="CJ10" s="286"/>
      <c r="CK10" s="286">
        <v>101.21561718747527</v>
      </c>
      <c r="CL10" s="286">
        <v>102.99341616406916</v>
      </c>
      <c r="CM10" s="286">
        <v>101.41599378864714</v>
      </c>
      <c r="CN10" s="286">
        <v>100.91070601364864</v>
      </c>
      <c r="CO10" s="286"/>
      <c r="CP10" s="286">
        <v>101.85477942473911</v>
      </c>
      <c r="CQ10" s="286">
        <v>102.85873850017272</v>
      </c>
      <c r="CR10" s="286">
        <v>102.45682478574793</v>
      </c>
      <c r="CS10" s="286">
        <v>101.2</v>
      </c>
      <c r="CT10" s="286"/>
      <c r="CU10" s="286">
        <v>106.2</v>
      </c>
      <c r="CV10" s="286">
        <v>105.03333333333335</v>
      </c>
      <c r="CW10" s="286">
        <v>98.466666666666654</v>
      </c>
      <c r="CX10" s="286">
        <v>105</v>
      </c>
      <c r="CY10" s="286"/>
      <c r="CZ10" s="286">
        <v>105.36666666666667</v>
      </c>
      <c r="DA10" s="286">
        <v>110.13333333333333</v>
      </c>
      <c r="DB10" s="286">
        <v>111.4</v>
      </c>
      <c r="DC10" s="368">
        <v>115.33333333333333</v>
      </c>
      <c r="DD10" s="286"/>
    </row>
    <row r="11" spans="1:109" x14ac:dyDescent="0.2">
      <c r="A11" s="178" t="s">
        <v>114</v>
      </c>
      <c r="B11" s="179">
        <f t="shared" si="0"/>
        <v>96.660960972804105</v>
      </c>
      <c r="C11" s="179">
        <f t="shared" si="1"/>
        <v>106.49449186658882</v>
      </c>
      <c r="D11" s="179">
        <f t="shared" si="2"/>
        <v>134.81939465563551</v>
      </c>
      <c r="E11" s="179">
        <f t="shared" si="3"/>
        <v>139.0562068441985</v>
      </c>
      <c r="F11" s="179">
        <f t="shared" si="4"/>
        <v>147.02120949928542</v>
      </c>
      <c r="G11" s="265">
        <f t="shared" si="5"/>
        <v>159.97074052308201</v>
      </c>
      <c r="H11" s="265">
        <f t="shared" si="6"/>
        <v>153.25776906117889</v>
      </c>
      <c r="I11" s="265">
        <f t="shared" si="7"/>
        <v>77.059909925331141</v>
      </c>
      <c r="J11" s="265">
        <f t="shared" si="8"/>
        <v>82.610103428138089</v>
      </c>
      <c r="K11" s="265">
        <f t="shared" si="9"/>
        <v>85.078893389206158</v>
      </c>
      <c r="L11" s="263">
        <f t="shared" si="10"/>
        <v>95.741105955642865</v>
      </c>
      <c r="M11" s="263">
        <f t="shared" si="11"/>
        <v>100.24419578049969</v>
      </c>
      <c r="N11" s="263">
        <f t="shared" si="12"/>
        <v>100.26183184093289</v>
      </c>
      <c r="O11" s="263">
        <f t="shared" si="13"/>
        <v>98.78730022649664</v>
      </c>
      <c r="P11" s="263">
        <f t="shared" si="14"/>
        <v>100.94578379480062</v>
      </c>
      <c r="Q11" s="263">
        <f t="shared" si="15"/>
        <v>103.25833333333333</v>
      </c>
      <c r="R11" s="179">
        <v>88.572779850885013</v>
      </c>
      <c r="S11" s="179">
        <v>90.594993581469481</v>
      </c>
      <c r="T11" s="179">
        <v>91.228437692513765</v>
      </c>
      <c r="U11" s="179">
        <v>92.013963524439546</v>
      </c>
      <c r="V11" s="179"/>
      <c r="W11" s="179">
        <v>96.994120077444421</v>
      </c>
      <c r="X11" s="179">
        <v>98.031563814652515</v>
      </c>
      <c r="Y11" s="179">
        <v>95.928362200594904</v>
      </c>
      <c r="Z11" s="179">
        <v>96.743660148599503</v>
      </c>
      <c r="AA11" s="179"/>
      <c r="AB11" s="179">
        <v>97.641403956514694</v>
      </c>
      <c r="AC11" s="179">
        <v>96.330417585507334</v>
      </c>
      <c r="AD11" s="179">
        <v>100.44539537981221</v>
      </c>
      <c r="AE11" s="179">
        <v>102.41080002658063</v>
      </c>
      <c r="AF11" s="179"/>
      <c r="AG11" s="179">
        <v>107.71620736316119</v>
      </c>
      <c r="AH11" s="179">
        <v>115.40556469680126</v>
      </c>
      <c r="AI11" s="179">
        <v>128.8474381069295</v>
      </c>
      <c r="AJ11" s="179">
        <v>133.45837701533191</v>
      </c>
      <c r="AK11" s="179"/>
      <c r="AL11" s="179">
        <v>137.48648280785099</v>
      </c>
      <c r="AM11" s="179">
        <v>139.48528069242974</v>
      </c>
      <c r="AN11" s="179">
        <v>139.2789615243322</v>
      </c>
      <c r="AO11" s="179">
        <v>137.77310679910377</v>
      </c>
      <c r="AP11" s="179"/>
      <c r="AQ11" s="179">
        <v>139.45852519851724</v>
      </c>
      <c r="AR11" s="179">
        <v>139.71423385484084</v>
      </c>
      <c r="AS11" s="179">
        <v>142.69452520000743</v>
      </c>
      <c r="AT11" s="179">
        <v>147.33532596046479</v>
      </c>
      <c r="AU11" s="179"/>
      <c r="AV11" s="179">
        <v>149.75093347014706</v>
      </c>
      <c r="AW11" s="179">
        <v>148.30405336652242</v>
      </c>
      <c r="AX11" s="179">
        <v>150.63999999999999</v>
      </c>
      <c r="AY11" s="179">
        <v>154.32</v>
      </c>
      <c r="AZ11" s="179"/>
      <c r="BA11" s="179">
        <v>159.80830321753695</v>
      </c>
      <c r="BB11" s="179">
        <v>175.11465887479116</v>
      </c>
      <c r="BC11" s="179">
        <v>178.98721158676346</v>
      </c>
      <c r="BD11" s="179">
        <v>180.86127944390034</v>
      </c>
      <c r="BE11" s="179"/>
      <c r="BF11" s="179">
        <v>180.85617425090808</v>
      </c>
      <c r="BG11" s="286">
        <v>72.326410963143644</v>
      </c>
      <c r="BH11" s="286">
        <v>72.39099316057326</v>
      </c>
      <c r="BI11" s="286">
        <v>75.960589099038174</v>
      </c>
      <c r="BJ11" s="179"/>
      <c r="BK11" s="286">
        <v>77.890188305470417</v>
      </c>
      <c r="BL11" s="286">
        <v>81.997869136242727</v>
      </c>
      <c r="BM11" s="286">
        <v>82.569393124475027</v>
      </c>
      <c r="BN11" s="286">
        <v>83.354288519579882</v>
      </c>
      <c r="BO11" s="179"/>
      <c r="BP11" s="286">
        <v>84.239367337088865</v>
      </c>
      <c r="BQ11" s="286">
        <v>80.277364731408554</v>
      </c>
      <c r="BR11" s="286">
        <v>83.622632897453144</v>
      </c>
      <c r="BS11" s="286">
        <v>84.901464922664857</v>
      </c>
      <c r="BT11" s="288"/>
      <c r="BU11" s="286">
        <v>85.875384539603317</v>
      </c>
      <c r="BV11" s="286">
        <v>85.916091197103313</v>
      </c>
      <c r="BW11" s="286">
        <v>91.045444803134046</v>
      </c>
      <c r="BX11" s="286">
        <v>94.867683331024125</v>
      </c>
      <c r="BY11" s="288"/>
      <c r="BZ11" s="286">
        <v>96.873110034028628</v>
      </c>
      <c r="CA11" s="286">
        <v>100.17818565438466</v>
      </c>
      <c r="CB11" s="286"/>
      <c r="CC11" s="286">
        <v>100.74187307091711</v>
      </c>
      <c r="CD11" s="286">
        <v>100.90622624248941</v>
      </c>
      <c r="CE11" s="288"/>
      <c r="CF11" s="286">
        <v>99.10478454930103</v>
      </c>
      <c r="CG11" s="286">
        <v>100.22389925929122</v>
      </c>
      <c r="CH11" s="286">
        <v>100.30921584179193</v>
      </c>
      <c r="CI11" s="286">
        <v>100.29349825339041</v>
      </c>
      <c r="CJ11" s="286"/>
      <c r="CK11" s="286">
        <v>99.9551053126184</v>
      </c>
      <c r="CL11" s="286">
        <v>100.48950795593085</v>
      </c>
      <c r="CM11" s="286">
        <v>95.999173475747739</v>
      </c>
      <c r="CN11" s="286">
        <v>98.467728897015505</v>
      </c>
      <c r="CO11" s="286"/>
      <c r="CP11" s="286">
        <v>100.04846211996572</v>
      </c>
      <c r="CQ11" s="286">
        <v>100.63383641325758</v>
      </c>
      <c r="CR11" s="286">
        <v>100.34980184586918</v>
      </c>
      <c r="CS11" s="286">
        <v>98.566666666666663</v>
      </c>
      <c r="CT11" s="286"/>
      <c r="CU11" s="286">
        <v>101.4</v>
      </c>
      <c r="CV11" s="286">
        <v>103.46666666666665</v>
      </c>
      <c r="CW11" s="286">
        <v>101.63333333333334</v>
      </c>
      <c r="CX11" s="286">
        <v>102.63333333333333</v>
      </c>
      <c r="CY11" s="286"/>
      <c r="CZ11" s="286">
        <v>103.13333333333333</v>
      </c>
      <c r="DA11" s="286">
        <v>105.63333333333333</v>
      </c>
      <c r="DB11" s="286">
        <v>106.53333333333335</v>
      </c>
      <c r="DC11" s="368">
        <v>107.86666666666667</v>
      </c>
      <c r="DD11" s="286"/>
    </row>
    <row r="12" spans="1:109" x14ac:dyDescent="0.2">
      <c r="A12" s="178" t="s">
        <v>115</v>
      </c>
      <c r="B12" s="179">
        <f t="shared" si="0"/>
        <v>104.88482984365196</v>
      </c>
      <c r="C12" s="179">
        <f t="shared" si="1"/>
        <v>124.53887462550546</v>
      </c>
      <c r="D12" s="179">
        <f t="shared" si="2"/>
        <v>156.02564647205872</v>
      </c>
      <c r="E12" s="179">
        <f t="shared" si="3"/>
        <v>180.37262611226811</v>
      </c>
      <c r="F12" s="179">
        <f t="shared" si="4"/>
        <v>180.49629626362264</v>
      </c>
      <c r="G12" s="265">
        <f t="shared" si="5"/>
        <v>194.12365213020655</v>
      </c>
      <c r="H12" s="265">
        <f t="shared" si="6"/>
        <v>192.6650522557625</v>
      </c>
      <c r="I12" s="265">
        <f t="shared" si="7"/>
        <v>102.46503305752439</v>
      </c>
      <c r="J12" s="265">
        <f t="shared" si="8"/>
        <v>103.29881995024715</v>
      </c>
      <c r="K12" s="265">
        <f t="shared" si="9"/>
        <v>100.99678335292363</v>
      </c>
      <c r="L12" s="263">
        <f t="shared" si="10"/>
        <v>101.23152846262749</v>
      </c>
      <c r="M12" s="263">
        <f t="shared" si="11"/>
        <v>96.063627359421304</v>
      </c>
      <c r="N12" s="263">
        <f t="shared" si="12"/>
        <v>99.656603631618268</v>
      </c>
      <c r="O12" s="263">
        <f t="shared" si="13"/>
        <v>99.6242728534191</v>
      </c>
      <c r="P12" s="263">
        <f t="shared" si="14"/>
        <v>99.867218112787768</v>
      </c>
      <c r="Q12" s="263">
        <f t="shared" si="15"/>
        <v>100.40833333333333</v>
      </c>
      <c r="R12" s="179">
        <v>86.670224629365521</v>
      </c>
      <c r="S12" s="179">
        <v>89.99972611862492</v>
      </c>
      <c r="T12" s="179">
        <v>90.753049081278604</v>
      </c>
      <c r="U12" s="179">
        <v>91.357567508099436</v>
      </c>
      <c r="V12" s="179"/>
      <c r="W12" s="179">
        <v>93.55243441163357</v>
      </c>
      <c r="X12" s="179">
        <v>96.877285759148208</v>
      </c>
      <c r="Y12" s="179">
        <v>98.583887779480875</v>
      </c>
      <c r="Z12" s="179">
        <v>102.02034252887012</v>
      </c>
      <c r="AA12" s="179"/>
      <c r="AB12" s="179">
        <v>108.29338374257254</v>
      </c>
      <c r="AC12" s="179">
        <v>110.64170532368429</v>
      </c>
      <c r="AD12" s="179">
        <v>111.09276907292752</v>
      </c>
      <c r="AE12" s="179">
        <v>127.50311929024097</v>
      </c>
      <c r="AF12" s="179"/>
      <c r="AG12" s="179">
        <v>123.26684016075031</v>
      </c>
      <c r="AH12" s="179">
        <v>136.292769978103</v>
      </c>
      <c r="AI12" s="179">
        <v>144.45841888192916</v>
      </c>
      <c r="AJ12" s="179">
        <v>151.33597852245242</v>
      </c>
      <c r="AK12" s="179"/>
      <c r="AL12" s="179">
        <v>162.45446743421113</v>
      </c>
      <c r="AM12" s="179">
        <v>165.85372104964216</v>
      </c>
      <c r="AN12" s="179">
        <v>178.7857652418634</v>
      </c>
      <c r="AO12" s="179">
        <v>176.89315755173968</v>
      </c>
      <c r="AP12" s="179"/>
      <c r="AQ12" s="179">
        <v>183.62191265643014</v>
      </c>
      <c r="AR12" s="179">
        <v>182.18966899903921</v>
      </c>
      <c r="AS12" s="179">
        <v>184.30548349291215</v>
      </c>
      <c r="AT12" s="179">
        <v>179.99480209550507</v>
      </c>
      <c r="AU12" s="179"/>
      <c r="AV12" s="179">
        <v>176.30812248213391</v>
      </c>
      <c r="AW12" s="179">
        <v>181.37677698393938</v>
      </c>
      <c r="AX12" s="179">
        <v>187.19</v>
      </c>
      <c r="AY12" s="179">
        <v>190.04</v>
      </c>
      <c r="AZ12" s="179"/>
      <c r="BA12" s="179">
        <v>194.37771499816753</v>
      </c>
      <c r="BB12" s="179">
        <v>204.88689352265865</v>
      </c>
      <c r="BC12" s="179">
        <v>211.73720743335716</v>
      </c>
      <c r="BD12" s="179">
        <v>222.57815966270402</v>
      </c>
      <c r="BE12" s="179"/>
      <c r="BF12" s="179">
        <v>231.30499994027886</v>
      </c>
      <c r="BG12" s="286">
        <v>105.03984198670996</v>
      </c>
      <c r="BH12" s="286">
        <v>104.64990917694745</v>
      </c>
      <c r="BI12" s="286">
        <v>103.47747424355759</v>
      </c>
      <c r="BJ12" s="179"/>
      <c r="BK12" s="286">
        <v>102.0952789423617</v>
      </c>
      <c r="BL12" s="286">
        <v>99.637469867230834</v>
      </c>
      <c r="BM12" s="286">
        <v>101.26913254576091</v>
      </c>
      <c r="BN12" s="286">
        <v>104.80838397407571</v>
      </c>
      <c r="BO12" s="179"/>
      <c r="BP12" s="286">
        <v>104.54365234297363</v>
      </c>
      <c r="BQ12" s="286">
        <v>102.57411093817835</v>
      </c>
      <c r="BR12" s="286">
        <v>99.141665103522712</v>
      </c>
      <c r="BS12" s="286">
        <v>100.2565086052706</v>
      </c>
      <c r="BT12" s="288"/>
      <c r="BU12" s="286">
        <v>101.02171411419052</v>
      </c>
      <c r="BV12" s="286">
        <v>103.56724558871069</v>
      </c>
      <c r="BW12" s="286">
        <v>102.3518993783381</v>
      </c>
      <c r="BX12" s="286">
        <v>104.79802146478862</v>
      </c>
      <c r="BY12" s="288"/>
      <c r="BZ12" s="286">
        <v>100.25174167898119</v>
      </c>
      <c r="CA12" s="286">
        <v>97.524451328402051</v>
      </c>
      <c r="CB12" s="286"/>
      <c r="CC12" s="286">
        <v>96.393810791358362</v>
      </c>
      <c r="CD12" s="286">
        <v>95.405528921963807</v>
      </c>
      <c r="CE12" s="288"/>
      <c r="CF12" s="286">
        <v>95.830795992018352</v>
      </c>
      <c r="CG12" s="286">
        <v>96.624373732344665</v>
      </c>
      <c r="CH12" s="286">
        <v>96.792248130365067</v>
      </c>
      <c r="CI12" s="286">
        <v>100.038718155472</v>
      </c>
      <c r="CJ12" s="286"/>
      <c r="CK12" s="286">
        <v>100.28199171113546</v>
      </c>
      <c r="CL12" s="286">
        <v>101.51345652950056</v>
      </c>
      <c r="CM12" s="286">
        <v>99.439117092125571</v>
      </c>
      <c r="CN12" s="286">
        <v>97.730386156038364</v>
      </c>
      <c r="CO12" s="286"/>
      <c r="CP12" s="286">
        <v>100.27562236045247</v>
      </c>
      <c r="CQ12" s="286">
        <v>101.05196580505999</v>
      </c>
      <c r="CR12" s="286">
        <v>101.36887245115106</v>
      </c>
      <c r="CS12" s="286">
        <v>99.9</v>
      </c>
      <c r="CT12" s="286"/>
      <c r="CU12" s="286">
        <v>95.7</v>
      </c>
      <c r="CV12" s="286">
        <v>102.5</v>
      </c>
      <c r="CW12" s="286">
        <v>98.933333333333337</v>
      </c>
      <c r="CX12" s="286">
        <v>98.7</v>
      </c>
      <c r="CY12" s="286"/>
      <c r="CZ12" s="286">
        <v>98.9</v>
      </c>
      <c r="DA12" s="286">
        <v>105.1</v>
      </c>
      <c r="DB12" s="286">
        <v>105.63333333333333</v>
      </c>
      <c r="DC12" s="368">
        <v>107.06666666666668</v>
      </c>
      <c r="DD12" s="286"/>
    </row>
    <row r="13" spans="1:109" x14ac:dyDescent="0.2">
      <c r="A13" s="178" t="s">
        <v>116</v>
      </c>
      <c r="B13" s="179">
        <f t="shared" si="0"/>
        <v>89.803013959216116</v>
      </c>
      <c r="C13" s="179">
        <f t="shared" si="1"/>
        <v>103.36451019248803</v>
      </c>
      <c r="D13" s="179">
        <f t="shared" si="2"/>
        <v>110.6104837628408</v>
      </c>
      <c r="E13" s="179">
        <f t="shared" si="3"/>
        <v>117.29813291798575</v>
      </c>
      <c r="F13" s="179">
        <f t="shared" si="4"/>
        <v>113.4103909144138</v>
      </c>
      <c r="G13" s="265">
        <f t="shared" si="5"/>
        <v>122.85762511900693</v>
      </c>
      <c r="H13" s="265">
        <f t="shared" si="6"/>
        <v>120.25255263373116</v>
      </c>
      <c r="I13" s="265">
        <f t="shared" si="7"/>
        <v>93.846596356533368</v>
      </c>
      <c r="J13" s="265">
        <f t="shared" si="8"/>
        <v>96.163021827704583</v>
      </c>
      <c r="K13" s="265">
        <f t="shared" si="9"/>
        <v>100.08318788531479</v>
      </c>
      <c r="L13" s="263">
        <f t="shared" si="10"/>
        <v>100.03930928927066</v>
      </c>
      <c r="M13" s="263">
        <f t="shared" si="11"/>
        <v>99.021335410901656</v>
      </c>
      <c r="N13" s="263">
        <f t="shared" si="12"/>
        <v>100.01375304590401</v>
      </c>
      <c r="O13" s="263">
        <f t="shared" si="13"/>
        <v>96.300512798308318</v>
      </c>
      <c r="P13" s="263">
        <f t="shared" si="14"/>
        <v>96.423390724798892</v>
      </c>
      <c r="Q13" s="263">
        <f t="shared" si="15"/>
        <v>92.36666666666666</v>
      </c>
      <c r="R13" s="179">
        <v>84.613791980630111</v>
      </c>
      <c r="S13" s="179">
        <v>84.986461259295766</v>
      </c>
      <c r="T13" s="179">
        <v>85.176634736827921</v>
      </c>
      <c r="U13" s="179">
        <v>85.889470420822647</v>
      </c>
      <c r="V13" s="179"/>
      <c r="W13" s="179">
        <v>86.268557948883469</v>
      </c>
      <c r="X13" s="179">
        <v>87.361740587942521</v>
      </c>
      <c r="Y13" s="179">
        <v>86.509930270241227</v>
      </c>
      <c r="Z13" s="179">
        <v>86.556529069371635</v>
      </c>
      <c r="AA13" s="179"/>
      <c r="AB13" s="179">
        <v>92.118158716934801</v>
      </c>
      <c r="AC13" s="179">
        <v>94.027437780316816</v>
      </c>
      <c r="AD13" s="179">
        <v>95.278167156594449</v>
      </c>
      <c r="AE13" s="179">
        <v>107.67587344185237</v>
      </c>
      <c r="AF13" s="179"/>
      <c r="AG13" s="179">
        <v>107.43784173818628</v>
      </c>
      <c r="AH13" s="179">
        <v>103.066158433319</v>
      </c>
      <c r="AI13" s="179">
        <v>108.82004274910248</v>
      </c>
      <c r="AJ13" s="179">
        <v>110.23811901867798</v>
      </c>
      <c r="AK13" s="179"/>
      <c r="AL13" s="179">
        <v>112.14484746042186</v>
      </c>
      <c r="AM13" s="179">
        <v>111.23892582316088</v>
      </c>
      <c r="AN13" s="179">
        <v>115.44643196577984</v>
      </c>
      <c r="AO13" s="179">
        <v>116.44070967236965</v>
      </c>
      <c r="AP13" s="179"/>
      <c r="AQ13" s="179">
        <v>118.42292941413878</v>
      </c>
      <c r="AR13" s="179">
        <v>118.88246061965475</v>
      </c>
      <c r="AS13" s="179">
        <v>112.89277792838357</v>
      </c>
      <c r="AT13" s="179">
        <v>115.20429791888171</v>
      </c>
      <c r="AU13" s="179"/>
      <c r="AV13" s="179">
        <v>114.03271150406331</v>
      </c>
      <c r="AW13" s="179">
        <v>111.5117763063266</v>
      </c>
      <c r="AX13" s="179">
        <v>123.05</v>
      </c>
      <c r="AY13" s="179">
        <v>122.44</v>
      </c>
      <c r="AZ13" s="179"/>
      <c r="BA13" s="179">
        <v>122.19172419831561</v>
      </c>
      <c r="BB13" s="179">
        <v>123.74877627771207</v>
      </c>
      <c r="BC13" s="179">
        <v>128.94753784965522</v>
      </c>
      <c r="BD13" s="179">
        <v>132.31677436086704</v>
      </c>
      <c r="BE13" s="179"/>
      <c r="BF13" s="179">
        <v>134.68314646124429</v>
      </c>
      <c r="BG13" s="286">
        <v>85.062751863158098</v>
      </c>
      <c r="BH13" s="286">
        <v>89.139003239846673</v>
      </c>
      <c r="BI13" s="286">
        <v>93.06561207356053</v>
      </c>
      <c r="BJ13" s="179"/>
      <c r="BK13" s="286">
        <v>97.158902327400256</v>
      </c>
      <c r="BL13" s="286">
        <v>96.022867785326</v>
      </c>
      <c r="BM13" s="286">
        <v>95.487095079977735</v>
      </c>
      <c r="BN13" s="286">
        <v>95.417262216667567</v>
      </c>
      <c r="BO13" s="179"/>
      <c r="BP13" s="286">
        <v>96.412678218210132</v>
      </c>
      <c r="BQ13" s="286">
        <v>97.335051795962883</v>
      </c>
      <c r="BR13" s="286">
        <v>98.262593115028835</v>
      </c>
      <c r="BS13" s="286">
        <v>99.557816416276992</v>
      </c>
      <c r="BT13" s="288"/>
      <c r="BU13" s="286">
        <v>100.94389625594299</v>
      </c>
      <c r="BV13" s="286">
        <v>101.56844575401033</v>
      </c>
      <c r="BW13" s="286">
        <v>101.39734324618291</v>
      </c>
      <c r="BX13" s="286">
        <v>99.793911795517388</v>
      </c>
      <c r="BY13" s="288"/>
      <c r="BZ13" s="286">
        <v>100.40217256209768</v>
      </c>
      <c r="CA13" s="286">
        <v>98.563809553284685</v>
      </c>
      <c r="CB13" s="286"/>
      <c r="CC13" s="286">
        <v>99.419544231355417</v>
      </c>
      <c r="CD13" s="286">
        <v>99.363235421723743</v>
      </c>
      <c r="CE13" s="288"/>
      <c r="CF13" s="286">
        <v>98.399380612859147</v>
      </c>
      <c r="CG13" s="286">
        <v>98.903181377668304</v>
      </c>
      <c r="CH13" s="286">
        <v>99.894418970472159</v>
      </c>
      <c r="CI13" s="286">
        <v>100.48772705117882</v>
      </c>
      <c r="CJ13" s="286"/>
      <c r="CK13" s="286">
        <v>100.39092561187948</v>
      </c>
      <c r="CL13" s="286">
        <v>99.281940550085622</v>
      </c>
      <c r="CM13" s="286">
        <v>97.419889433325991</v>
      </c>
      <c r="CN13" s="286">
        <v>94.416562429724493</v>
      </c>
      <c r="CO13" s="286"/>
      <c r="CP13" s="286">
        <v>95.867841134471007</v>
      </c>
      <c r="CQ13" s="286">
        <v>97.497758195711754</v>
      </c>
      <c r="CR13" s="286">
        <v>96.760229565862247</v>
      </c>
      <c r="CS13" s="286">
        <v>97.966666666666654</v>
      </c>
      <c r="CT13" s="286"/>
      <c r="CU13" s="286">
        <v>96.633333333333326</v>
      </c>
      <c r="CV13" s="286">
        <v>94.333333333333329</v>
      </c>
      <c r="CW13" s="286">
        <v>92.366666666666674</v>
      </c>
      <c r="CX13" s="286">
        <v>91.266666666666666</v>
      </c>
      <c r="CY13" s="286"/>
      <c r="CZ13" s="286">
        <v>92.633333333333326</v>
      </c>
      <c r="DA13" s="286">
        <v>93.2</v>
      </c>
      <c r="DB13" s="286">
        <v>93.966666666666654</v>
      </c>
      <c r="DC13" s="368">
        <v>97.966666666666654</v>
      </c>
      <c r="DD13" s="286"/>
    </row>
    <row r="14" spans="1:109" x14ac:dyDescent="0.2">
      <c r="A14" s="178" t="s">
        <v>117</v>
      </c>
      <c r="B14" s="179">
        <f t="shared" si="0"/>
        <v>97.489550280737774</v>
      </c>
      <c r="C14" s="179">
        <f t="shared" si="1"/>
        <v>114.54528561513342</v>
      </c>
      <c r="D14" s="179">
        <f t="shared" si="2"/>
        <v>123.60188295210317</v>
      </c>
      <c r="E14" s="179">
        <f t="shared" si="3"/>
        <v>127.60128154410398</v>
      </c>
      <c r="F14" s="179">
        <f t="shared" si="4"/>
        <v>142.71481630588966</v>
      </c>
      <c r="G14" s="265">
        <f t="shared" si="5"/>
        <v>159.44285579807408</v>
      </c>
      <c r="H14" s="265">
        <f t="shared" si="6"/>
        <v>142.05088875503995</v>
      </c>
      <c r="I14" s="265">
        <f t="shared" si="7"/>
        <v>82.14493350966103</v>
      </c>
      <c r="J14" s="265">
        <f t="shared" si="8"/>
        <v>86.469398187070937</v>
      </c>
      <c r="K14" s="265">
        <f t="shared" si="9"/>
        <v>91.899295310421337</v>
      </c>
      <c r="L14" s="263">
        <f t="shared" si="10"/>
        <v>93.644293272355753</v>
      </c>
      <c r="M14" s="263">
        <f t="shared" si="11"/>
        <v>97.459503260273465</v>
      </c>
      <c r="N14" s="263">
        <f t="shared" si="12"/>
        <v>100.38847963998805</v>
      </c>
      <c r="O14" s="263">
        <f t="shared" si="13"/>
        <v>102.74568760634997</v>
      </c>
      <c r="P14" s="263">
        <f t="shared" si="14"/>
        <v>107.6633343539719</v>
      </c>
      <c r="Q14" s="263">
        <f t="shared" si="15"/>
        <v>109.4</v>
      </c>
      <c r="R14" s="179">
        <v>73.520174786069788</v>
      </c>
      <c r="S14" s="179">
        <v>74.411909775457872</v>
      </c>
      <c r="T14" s="179">
        <v>75.510958950276958</v>
      </c>
      <c r="U14" s="179">
        <v>75.715433215359582</v>
      </c>
      <c r="V14" s="179"/>
      <c r="W14" s="179">
        <v>76.468012107677552</v>
      </c>
      <c r="X14" s="179">
        <v>80.33882354250548</v>
      </c>
      <c r="Y14" s="179">
        <v>90.99420468958867</v>
      </c>
      <c r="Z14" s="179">
        <v>92.397125341683306</v>
      </c>
      <c r="AA14" s="179"/>
      <c r="AB14" s="179">
        <v>99.869114181981288</v>
      </c>
      <c r="AC14" s="179">
        <v>106.69775690969784</v>
      </c>
      <c r="AD14" s="179">
        <v>113.79203634366267</v>
      </c>
      <c r="AE14" s="179">
        <v>114.7178503772312</v>
      </c>
      <c r="AF14" s="179"/>
      <c r="AG14" s="179">
        <v>114.82008750977249</v>
      </c>
      <c r="AH14" s="179">
        <v>114.85116822986733</v>
      </c>
      <c r="AI14" s="179">
        <v>126.73962109218799</v>
      </c>
      <c r="AJ14" s="179">
        <v>131.34569875522115</v>
      </c>
      <c r="AK14" s="179"/>
      <c r="AL14" s="179">
        <v>116.91181416924158</v>
      </c>
      <c r="AM14" s="179">
        <v>119.41039779176191</v>
      </c>
      <c r="AN14" s="179">
        <v>123.72762300532889</v>
      </c>
      <c r="AO14" s="179">
        <v>130.15063857260256</v>
      </c>
      <c r="AP14" s="179"/>
      <c r="AQ14" s="179">
        <v>122.84904495320671</v>
      </c>
      <c r="AR14" s="179">
        <v>133.67781964527774</v>
      </c>
      <c r="AS14" s="179">
        <v>134.42324448666321</v>
      </c>
      <c r="AT14" s="179">
        <v>136.71173883807529</v>
      </c>
      <c r="AU14" s="179"/>
      <c r="AV14" s="179">
        <v>143.68340531662929</v>
      </c>
      <c r="AW14" s="179">
        <v>156.04087658219083</v>
      </c>
      <c r="AX14" s="179">
        <v>155.22</v>
      </c>
      <c r="AY14" s="179">
        <v>161.09</v>
      </c>
      <c r="AZ14" s="179"/>
      <c r="BA14" s="179">
        <v>161.28468361905936</v>
      </c>
      <c r="BB14" s="179">
        <v>160.17673957323692</v>
      </c>
      <c r="BC14" s="179">
        <v>167.15608072229466</v>
      </c>
      <c r="BD14" s="179">
        <v>166.55694203647928</v>
      </c>
      <c r="BE14" s="179"/>
      <c r="BF14" s="179">
        <v>167.65878208017182</v>
      </c>
      <c r="BG14" s="286">
        <v>66.831750181214019</v>
      </c>
      <c r="BH14" s="286">
        <v>77.06482592471302</v>
      </c>
      <c r="BI14" s="286">
        <v>82.488034432058413</v>
      </c>
      <c r="BJ14" s="179"/>
      <c r="BK14" s="286">
        <v>84.533252463398739</v>
      </c>
      <c r="BL14" s="286">
        <v>84.493621218473933</v>
      </c>
      <c r="BM14" s="286">
        <v>85.503987476222889</v>
      </c>
      <c r="BN14" s="286">
        <v>85.503118980834913</v>
      </c>
      <c r="BO14" s="179"/>
      <c r="BP14" s="286">
        <v>86.324716611659994</v>
      </c>
      <c r="BQ14" s="286">
        <v>88.545769679565979</v>
      </c>
      <c r="BR14" s="286">
        <v>91.287431725338152</v>
      </c>
      <c r="BS14" s="286">
        <v>91.512655065835091</v>
      </c>
      <c r="BT14" s="288"/>
      <c r="BU14" s="286">
        <v>92.187043005940481</v>
      </c>
      <c r="BV14" s="286">
        <v>92.610051444571653</v>
      </c>
      <c r="BW14" s="286">
        <v>91.69514593281292</v>
      </c>
      <c r="BX14" s="286">
        <v>92.931387911045803</v>
      </c>
      <c r="BY14" s="288"/>
      <c r="BZ14" s="286">
        <v>94.548817680226932</v>
      </c>
      <c r="CA14" s="286">
        <v>95.401821565337343</v>
      </c>
      <c r="CB14" s="286"/>
      <c r="CC14" s="286">
        <v>97.887222066031612</v>
      </c>
      <c r="CD14" s="286">
        <v>97.434456970241925</v>
      </c>
      <c r="CE14" s="288"/>
      <c r="CF14" s="286">
        <v>96.563489069262303</v>
      </c>
      <c r="CG14" s="286">
        <v>97.952844935557991</v>
      </c>
      <c r="CH14" s="286">
        <v>99.375009086465596</v>
      </c>
      <c r="CI14" s="286">
        <v>100.10469450899667</v>
      </c>
      <c r="CJ14" s="286"/>
      <c r="CK14" s="286">
        <v>100.84041125794074</v>
      </c>
      <c r="CL14" s="286">
        <v>101.23380370654915</v>
      </c>
      <c r="CM14" s="286">
        <v>101.55004388064496</v>
      </c>
      <c r="CN14" s="286">
        <v>102.27520409915837</v>
      </c>
      <c r="CO14" s="286"/>
      <c r="CP14" s="286">
        <v>103.16154456187708</v>
      </c>
      <c r="CQ14" s="286">
        <v>103.99595788371948</v>
      </c>
      <c r="CR14" s="286">
        <v>104.92000408255431</v>
      </c>
      <c r="CS14" s="286">
        <v>105.1</v>
      </c>
      <c r="CT14" s="286"/>
      <c r="CU14" s="286">
        <v>103.2</v>
      </c>
      <c r="CV14" s="286">
        <v>117.43333333333334</v>
      </c>
      <c r="CW14" s="286">
        <v>118.66666666666667</v>
      </c>
      <c r="CX14" s="286">
        <v>106.9</v>
      </c>
      <c r="CY14" s="286"/>
      <c r="CZ14" s="286">
        <v>105.36666666666667</v>
      </c>
      <c r="DA14" s="286">
        <v>106.66666666666667</v>
      </c>
      <c r="DB14" s="286">
        <v>108</v>
      </c>
      <c r="DC14" s="368">
        <v>116</v>
      </c>
      <c r="DD14" s="286"/>
    </row>
    <row r="15" spans="1:109" x14ac:dyDescent="0.2">
      <c r="A15" s="178" t="s">
        <v>118</v>
      </c>
      <c r="B15" s="179">
        <f t="shared" si="0"/>
        <v>79.783024640386145</v>
      </c>
      <c r="C15" s="179">
        <f t="shared" si="1"/>
        <v>106.21163005127622</v>
      </c>
      <c r="D15" s="179">
        <f t="shared" si="2"/>
        <v>143.8156361481542</v>
      </c>
      <c r="E15" s="179">
        <f t="shared" si="3"/>
        <v>171.18538114562068</v>
      </c>
      <c r="F15" s="179">
        <f t="shared" si="4"/>
        <v>197.01263838402329</v>
      </c>
      <c r="G15" s="265">
        <f t="shared" si="5"/>
        <v>221.35178005695499</v>
      </c>
      <c r="H15" s="265">
        <f t="shared" si="6"/>
        <v>196.35000585492864</v>
      </c>
      <c r="I15" s="265">
        <f t="shared" si="7"/>
        <v>90.153242629108348</v>
      </c>
      <c r="J15" s="265">
        <f t="shared" si="8"/>
        <v>97.186477468209119</v>
      </c>
      <c r="K15" s="265">
        <f t="shared" si="9"/>
        <v>99.662391427274784</v>
      </c>
      <c r="L15" s="263">
        <f t="shared" si="10"/>
        <v>104.68575938457602</v>
      </c>
      <c r="M15" s="263">
        <f t="shared" si="11"/>
        <v>102.78370356588466</v>
      </c>
      <c r="N15" s="263">
        <f t="shared" si="12"/>
        <v>100.39141511025001</v>
      </c>
      <c r="O15" s="263">
        <f t="shared" si="13"/>
        <v>103.55266514427971</v>
      </c>
      <c r="P15" s="263">
        <f t="shared" si="14"/>
        <v>106.93247317739252</v>
      </c>
      <c r="Q15" s="263">
        <f t="shared" si="15"/>
        <v>110.35</v>
      </c>
      <c r="R15" s="179">
        <v>69.664797732026145</v>
      </c>
      <c r="S15" s="179">
        <v>69.49717499476543</v>
      </c>
      <c r="T15" s="179">
        <v>71.854502350419281</v>
      </c>
      <c r="U15" s="179">
        <v>73.409632097358553</v>
      </c>
      <c r="V15" s="179"/>
      <c r="W15" s="179">
        <v>74.701572318467655</v>
      </c>
      <c r="X15" s="179">
        <v>75.291434609081321</v>
      </c>
      <c r="Y15" s="179">
        <v>75.796424627664223</v>
      </c>
      <c r="Z15" s="179">
        <v>76.553909655538604</v>
      </c>
      <c r="AA15" s="179"/>
      <c r="AB15" s="179">
        <v>83.760127427294904</v>
      </c>
      <c r="AC15" s="179">
        <v>83.021636851046893</v>
      </c>
      <c r="AD15" s="179">
        <v>101.3773874844956</v>
      </c>
      <c r="AE15" s="179">
        <v>99.609922419455415</v>
      </c>
      <c r="AF15" s="179"/>
      <c r="AG15" s="179">
        <v>105.89798043241463</v>
      </c>
      <c r="AH15" s="179">
        <v>117.9612298687392</v>
      </c>
      <c r="AI15" s="179">
        <v>136.7039107868375</v>
      </c>
      <c r="AJ15" s="179">
        <v>139.03256760407783</v>
      </c>
      <c r="AK15" s="179"/>
      <c r="AL15" s="179">
        <v>143.48146286049081</v>
      </c>
      <c r="AM15" s="179">
        <v>156.04460334121072</v>
      </c>
      <c r="AN15" s="179">
        <v>167.27781523280609</v>
      </c>
      <c r="AO15" s="179">
        <v>170.93937780655779</v>
      </c>
      <c r="AP15" s="179"/>
      <c r="AQ15" s="179">
        <v>171.94450742123647</v>
      </c>
      <c r="AR15" s="179">
        <v>174.57982412188235</v>
      </c>
      <c r="AS15" s="179">
        <v>181.42453220536547</v>
      </c>
      <c r="AT15" s="179">
        <v>182.01439449597919</v>
      </c>
      <c r="AU15" s="179"/>
      <c r="AV15" s="179">
        <v>215.85839818180634</v>
      </c>
      <c r="AW15" s="179">
        <v>208.75322865294217</v>
      </c>
      <c r="AX15" s="179">
        <v>212.76</v>
      </c>
      <c r="AY15" s="179">
        <v>218.27</v>
      </c>
      <c r="AZ15" s="179"/>
      <c r="BA15" s="179">
        <v>223.16232939904936</v>
      </c>
      <c r="BB15" s="179">
        <v>231.21479082877065</v>
      </c>
      <c r="BC15" s="179">
        <v>228.24606254973605</v>
      </c>
      <c r="BD15" s="179">
        <v>230.86022960715607</v>
      </c>
      <c r="BE15" s="179"/>
      <c r="BF15" s="179">
        <v>249.04229896331745</v>
      </c>
      <c r="BG15" s="286">
        <v>77.251432299504998</v>
      </c>
      <c r="BH15" s="286">
        <v>81.655963614675727</v>
      </c>
      <c r="BI15" s="286">
        <v>89.772295967332468</v>
      </c>
      <c r="BJ15" s="179"/>
      <c r="BK15" s="286">
        <v>95.401407781634262</v>
      </c>
      <c r="BL15" s="286">
        <v>93.783303152790936</v>
      </c>
      <c r="BM15" s="286">
        <v>95.539247880427681</v>
      </c>
      <c r="BN15" s="286">
        <v>97.282716608965018</v>
      </c>
      <c r="BO15" s="179"/>
      <c r="BP15" s="286">
        <v>96.636054242231808</v>
      </c>
      <c r="BQ15" s="286">
        <v>99.287891141211972</v>
      </c>
      <c r="BR15" s="286">
        <v>96.013969849273465</v>
      </c>
      <c r="BS15" s="286">
        <v>95.733543678805503</v>
      </c>
      <c r="BT15" s="288"/>
      <c r="BU15" s="286">
        <v>104.14151217549215</v>
      </c>
      <c r="BV15" s="286">
        <v>102.76054000552801</v>
      </c>
      <c r="BW15" s="286">
        <v>103.34907979799385</v>
      </c>
      <c r="BX15" s="286">
        <v>105.69934171565296</v>
      </c>
      <c r="BY15" s="288"/>
      <c r="BZ15" s="286">
        <v>106.00842219127212</v>
      </c>
      <c r="CA15" s="286">
        <v>103.68619383338513</v>
      </c>
      <c r="CB15" s="286"/>
      <c r="CC15" s="286">
        <v>101.32228946611603</v>
      </c>
      <c r="CD15" s="286">
        <v>101.56722313020877</v>
      </c>
      <c r="CE15" s="288"/>
      <c r="CF15" s="286">
        <v>105.16010716196801</v>
      </c>
      <c r="CG15" s="286">
        <v>103.08519450524585</v>
      </c>
      <c r="CH15" s="286">
        <v>101.15362483593937</v>
      </c>
      <c r="CI15" s="286">
        <v>99.864158408331761</v>
      </c>
      <c r="CJ15" s="286"/>
      <c r="CK15" s="286">
        <v>100.55804039574649</v>
      </c>
      <c r="CL15" s="286">
        <v>99.989836800982403</v>
      </c>
      <c r="CM15" s="286">
        <v>102.86605043601249</v>
      </c>
      <c r="CN15" s="286">
        <v>100.74100643346412</v>
      </c>
      <c r="CO15" s="286"/>
      <c r="CP15" s="286">
        <v>105.559420820569</v>
      </c>
      <c r="CQ15" s="286">
        <v>105.04418288707323</v>
      </c>
      <c r="CR15" s="286">
        <v>105.89655937623672</v>
      </c>
      <c r="CS15" s="286">
        <v>106.03333333333335</v>
      </c>
      <c r="CT15" s="286"/>
      <c r="CU15" s="286">
        <v>107.66666666666667</v>
      </c>
      <c r="CV15" s="286">
        <v>108.13333333333333</v>
      </c>
      <c r="CW15" s="286">
        <v>108.26666666666665</v>
      </c>
      <c r="CX15" s="286">
        <v>107.03333333333335</v>
      </c>
      <c r="CY15" s="286"/>
      <c r="CZ15" s="286">
        <v>110.5</v>
      </c>
      <c r="DA15" s="286">
        <v>115.6</v>
      </c>
      <c r="DB15" s="286">
        <v>117.83333333333333</v>
      </c>
      <c r="DC15" s="368">
        <v>120.36666666666667</v>
      </c>
      <c r="DD15" s="286"/>
    </row>
    <row r="16" spans="1:109" s="177" customFormat="1" ht="13.5" customHeight="1" x14ac:dyDescent="0.2">
      <c r="A16" s="312"/>
      <c r="B16" s="294"/>
      <c r="C16" s="182"/>
      <c r="D16" s="182"/>
      <c r="E16" s="181"/>
      <c r="F16" s="174"/>
      <c r="G16" s="267"/>
      <c r="H16" s="266"/>
      <c r="I16"/>
      <c r="J16" s="294" t="s">
        <v>104</v>
      </c>
      <c r="K16" s="266"/>
      <c r="L16" s="446" t="s">
        <v>119</v>
      </c>
      <c r="M16" s="266"/>
      <c r="N16" s="266"/>
      <c r="O16" s="266"/>
      <c r="P16" s="266"/>
      <c r="Q16" s="266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273"/>
      <c r="BM16" s="274"/>
      <c r="BN16" s="274"/>
      <c r="BO16" s="182"/>
      <c r="BP16" s="270"/>
      <c r="BQ16" s="271"/>
      <c r="BR16" s="271"/>
      <c r="BS16" s="272"/>
      <c r="BT16" s="183"/>
      <c r="BU16" s="272"/>
      <c r="BV16" s="272"/>
      <c r="BW16" s="272"/>
      <c r="BX16" s="272"/>
      <c r="BY16" s="183"/>
      <c r="BZ16" s="271"/>
      <c r="CA16" s="287"/>
      <c r="CB16" s="287"/>
      <c r="CC16" s="287"/>
      <c r="CD16" s="287"/>
      <c r="CE16" s="183"/>
      <c r="CF16" s="445"/>
      <c r="CG16" s="287"/>
      <c r="CH16" s="287"/>
      <c r="CI16" s="287"/>
      <c r="CJ16" s="287"/>
      <c r="CK16" s="287"/>
      <c r="CL16" s="176"/>
      <c r="CM16" s="378"/>
      <c r="CN16" s="378"/>
      <c r="CO16" s="378"/>
      <c r="CP16" s="378"/>
      <c r="CQ16" s="378"/>
      <c r="CR16" s="378"/>
      <c r="CS16" s="378"/>
      <c r="CT16" s="378"/>
      <c r="CU16" s="378"/>
      <c r="CV16" s="378"/>
      <c r="CW16" s="378"/>
      <c r="CX16" s="379"/>
      <c r="CY16" s="378"/>
      <c r="CZ16" s="378"/>
      <c r="DA16" s="379"/>
      <c r="DB16" s="378"/>
      <c r="DC16" s="379"/>
      <c r="DD16" s="380"/>
    </row>
    <row r="17" spans="1:108" x14ac:dyDescent="0.2">
      <c r="A17" s="178" t="s">
        <v>94</v>
      </c>
      <c r="B17" s="184"/>
      <c r="C17" s="179">
        <f t="shared" ref="C17:H19" si="16">((C6/B6)-1)*100</f>
        <v>5.3769221266622758</v>
      </c>
      <c r="D17" s="179">
        <f t="shared" si="16"/>
        <v>29.745329808698038</v>
      </c>
      <c r="E17" s="179">
        <f t="shared" si="16"/>
        <v>7.6899994163189378</v>
      </c>
      <c r="F17" s="179">
        <f t="shared" si="16"/>
        <v>10.330472293142812</v>
      </c>
      <c r="G17" s="265">
        <f t="shared" si="16"/>
        <v>3.9680102074965973</v>
      </c>
      <c r="H17" s="265">
        <f t="shared" si="16"/>
        <v>-9.8809213099309563</v>
      </c>
      <c r="I17" s="264">
        <f t="shared" ref="I17:I26" si="17">(I6/H6-1)*100</f>
        <v>-42.781979849413929</v>
      </c>
      <c r="J17" s="265">
        <f>((J6/I6)-1)*100</f>
        <v>8.6844165444197827</v>
      </c>
      <c r="K17" s="264">
        <f t="shared" ref="K17:Q26" si="18">(K6/J6-1)*100</f>
        <v>3.056815304030569</v>
      </c>
      <c r="L17" s="263">
        <f t="shared" si="18"/>
        <v>2.3717341082396759</v>
      </c>
      <c r="M17" s="263">
        <f t="shared" si="18"/>
        <v>0.33864530815381766</v>
      </c>
      <c r="N17" s="263">
        <f t="shared" si="18"/>
        <v>2.8391588887632713</v>
      </c>
      <c r="O17" s="263">
        <f t="shared" si="18"/>
        <v>1.8292598081225186</v>
      </c>
      <c r="P17" s="263">
        <f t="shared" si="18"/>
        <v>2.8655013660433326</v>
      </c>
      <c r="Q17" s="263">
        <f t="shared" si="18"/>
        <v>3.9224020771804646</v>
      </c>
      <c r="R17" s="185">
        <f t="shared" ref="R17:R26" si="19">(R6/L6-1)*100</f>
        <v>-13.343101780123835</v>
      </c>
      <c r="S17" s="185">
        <f t="shared" ref="S17:S26" si="20">(S6/M6-1)*100</f>
        <v>-9.9205064546787689</v>
      </c>
      <c r="T17" s="185">
        <f t="shared" ref="T17:T26" si="21">(T6/N6-1)*100</f>
        <v>-10.392229499633244</v>
      </c>
      <c r="U17" s="185">
        <f t="shared" ref="U17:U26" si="22">(U6/O6-1)*100</f>
        <v>-12.785401697358267</v>
      </c>
      <c r="V17" s="185"/>
      <c r="W17" s="185">
        <f t="shared" ref="W17:Z26" si="23">(W6/R6-1)*100</f>
        <v>7.6283526780331457</v>
      </c>
      <c r="X17" s="185">
        <f t="shared" si="23"/>
        <v>3.9202518320903712</v>
      </c>
      <c r="Y17" s="185">
        <f t="shared" si="23"/>
        <v>9.7404081712375792</v>
      </c>
      <c r="Z17" s="185">
        <f t="shared" si="23"/>
        <v>11.129132621307857</v>
      </c>
      <c r="AA17" s="185"/>
      <c r="AB17" s="185">
        <f t="shared" ref="AB17:AE26" si="24">(AB6/W6-1)*100</f>
        <v>5.4794325496755558</v>
      </c>
      <c r="AC17" s="185">
        <f t="shared" si="24"/>
        <v>5.2747853074141204</v>
      </c>
      <c r="AD17" s="185">
        <f t="shared" si="24"/>
        <v>-0.78869404126111764</v>
      </c>
      <c r="AE17" s="185">
        <f t="shared" si="24"/>
        <v>1.6816214591341305</v>
      </c>
      <c r="AF17" s="185"/>
      <c r="AG17" s="185">
        <f t="shared" ref="AG17:AJ26" si="25">(AG6/AB6-1)*100</f>
        <v>8.3212289495402167</v>
      </c>
      <c r="AH17" s="185">
        <f t="shared" si="25"/>
        <v>12.580432635809235</v>
      </c>
      <c r="AI17" s="185">
        <f t="shared" si="25"/>
        <v>25.597118246721195</v>
      </c>
      <c r="AJ17" s="185">
        <f t="shared" si="25"/>
        <v>32.872051904739607</v>
      </c>
      <c r="AK17" s="185"/>
      <c r="AL17" s="185">
        <f t="shared" ref="AL17:AO26" si="26">(AL6/AG6-1)*100</f>
        <v>33.162770887501921</v>
      </c>
      <c r="AM17" s="185">
        <f t="shared" si="26"/>
        <v>27.316749115024088</v>
      </c>
      <c r="AN17" s="185">
        <f t="shared" si="26"/>
        <v>17.471832651689635</v>
      </c>
      <c r="AO17" s="185">
        <f t="shared" si="26"/>
        <v>9.1829869429682187</v>
      </c>
      <c r="AP17" s="185"/>
      <c r="AQ17" s="185">
        <f t="shared" ref="AQ17:AT26" si="27">(AQ6/AL6-1)*100</f>
        <v>2.6562630910814677</v>
      </c>
      <c r="AR17" s="185">
        <f t="shared" si="27"/>
        <v>2.5541125711903812</v>
      </c>
      <c r="AS17" s="185">
        <f t="shared" si="27"/>
        <v>4.0957838322385864</v>
      </c>
      <c r="AT17" s="185">
        <f t="shared" si="27"/>
        <v>9.3690738936735407</v>
      </c>
      <c r="AU17" s="185"/>
      <c r="AV17" s="185">
        <f t="shared" ref="AV17:AY26" si="28">(AV6/AQ6-1)*100</f>
        <v>14.464966086207266</v>
      </c>
      <c r="AW17" s="185">
        <f t="shared" si="28"/>
        <v>13.551487236947569</v>
      </c>
      <c r="AX17" s="185">
        <f t="shared" si="28"/>
        <v>7.084007363259559</v>
      </c>
      <c r="AY17" s="185">
        <f t="shared" si="28"/>
        <v>2.4689833313045639</v>
      </c>
      <c r="AZ17" s="185"/>
      <c r="BA17" s="185">
        <f t="shared" ref="BA17:BD26" si="29">(BA6/AV6-1)*100</f>
        <v>2.4388921903949701</v>
      </c>
      <c r="BB17" s="185">
        <f t="shared" si="29"/>
        <v>4.0860995824781865</v>
      </c>
      <c r="BC17" s="185">
        <f t="shared" si="29"/>
        <v>5.2279950846938483</v>
      </c>
      <c r="BD17" s="185">
        <f t="shared" si="29"/>
        <v>4.9981997640928588</v>
      </c>
      <c r="BE17" s="185"/>
      <c r="BF17" s="185">
        <f t="shared" ref="BF17:BI26" si="30">(BF6/BA6-1)*100</f>
        <v>5.3840405290499049</v>
      </c>
      <c r="BG17" s="185">
        <f t="shared" si="30"/>
        <v>-54.201532891443208</v>
      </c>
      <c r="BH17" s="185">
        <f t="shared" si="30"/>
        <v>-51.72602904029926</v>
      </c>
      <c r="BI17" s="185">
        <f t="shared" si="30"/>
        <v>-50.747602434915585</v>
      </c>
      <c r="BJ17" s="185"/>
      <c r="BK17" s="185">
        <f t="shared" ref="BK17:BN26" si="31">(BK6/BF6-1)*100</f>
        <v>-50.415156147700138</v>
      </c>
      <c r="BL17" s="269">
        <f t="shared" si="31"/>
        <v>12.384081079372478</v>
      </c>
      <c r="BM17" s="268">
        <f t="shared" si="31"/>
        <v>8.9239676557350869</v>
      </c>
      <c r="BN17" s="268">
        <f t="shared" si="31"/>
        <v>7.0614711695092369</v>
      </c>
      <c r="BO17" s="185"/>
      <c r="BP17" s="263">
        <f t="shared" ref="BP17:BS26" si="32">(BP6/BK6-1)*100</f>
        <v>8.3190955995086071</v>
      </c>
      <c r="BQ17" s="263">
        <f t="shared" si="32"/>
        <v>10.423367413303719</v>
      </c>
      <c r="BR17" s="263">
        <f t="shared" si="32"/>
        <v>8.6208978077582756</v>
      </c>
      <c r="BS17" s="263">
        <f t="shared" si="32"/>
        <v>4.5403385075278413</v>
      </c>
      <c r="BT17" s="263"/>
      <c r="BU17" s="263">
        <f t="shared" ref="BU17:BX26" si="33">(BU6/BP6-1)*100</f>
        <v>2.1644454619120124</v>
      </c>
      <c r="BV17" s="263">
        <f t="shared" si="33"/>
        <v>-2.696314363415997</v>
      </c>
      <c r="BW17" s="263">
        <f t="shared" si="33"/>
        <v>3.8720505585776444E-2</v>
      </c>
      <c r="BX17" s="263">
        <f t="shared" si="33"/>
        <v>4.3729658280706518</v>
      </c>
      <c r="BY17" s="263"/>
      <c r="BZ17" s="263">
        <f t="shared" ref="BZ17:CA26" si="34">(BZ6/BU6-1)*100</f>
        <v>0.31752459889871076</v>
      </c>
      <c r="CA17" s="263">
        <f t="shared" si="34"/>
        <v>4.8983469438020899</v>
      </c>
      <c r="CB17" s="263"/>
      <c r="CC17" s="263">
        <f t="shared" ref="CC17:CD26" si="35">(CC6/BW6-1)*100</f>
        <v>1.4787820340675051</v>
      </c>
      <c r="CD17" s="263">
        <f t="shared" si="35"/>
        <v>-2.3970262569203649</v>
      </c>
      <c r="CE17" s="263"/>
      <c r="CF17" s="263">
        <f t="shared" ref="CF17:CG26" si="36">(CF6/BZ6-1)*100</f>
        <v>0.98703887432254334</v>
      </c>
      <c r="CG17" s="263">
        <f t="shared" si="36"/>
        <v>1.3469970362731454</v>
      </c>
      <c r="CH17" s="263">
        <f t="shared" ref="CH17:CI26" si="37">(CH6/CC6-1)*100</f>
        <v>0.77025832005614969</v>
      </c>
      <c r="CI17" s="288">
        <f t="shared" si="37"/>
        <v>2.7474680460022327</v>
      </c>
      <c r="CJ17" s="288"/>
      <c r="CK17" s="288">
        <f t="shared" ref="CK17:CK26" si="38">(CK6/CF6-1)*100</f>
        <v>4.1060507588574824</v>
      </c>
      <c r="CL17" s="288">
        <f t="shared" ref="CL17:CL26" si="39">(CL6/CG6-1)*100</f>
        <v>3.743332177643488</v>
      </c>
      <c r="CM17" s="288">
        <f t="shared" ref="CM17:CX26" si="40">(CM6/CH6-1)*100</f>
        <v>2.3531028826681455</v>
      </c>
      <c r="CN17" s="288">
        <f t="shared" si="40"/>
        <v>1.8438964921536627</v>
      </c>
      <c r="CO17" s="288"/>
      <c r="CP17" s="288">
        <f t="shared" si="40"/>
        <v>1.1989990723185295</v>
      </c>
      <c r="CQ17" s="288">
        <f t="shared" si="40"/>
        <v>1.9327093312829335</v>
      </c>
      <c r="CR17" s="288">
        <f t="shared" si="40"/>
        <v>2.2982432581695411</v>
      </c>
      <c r="CS17" s="288">
        <f t="shared" si="40"/>
        <v>3.0076358881951926</v>
      </c>
      <c r="CT17" s="288"/>
      <c r="CU17" s="288">
        <f t="shared" si="40"/>
        <v>2.848891430258127</v>
      </c>
      <c r="CV17" s="288">
        <f t="shared" si="40"/>
        <v>3.2970190828444546</v>
      </c>
      <c r="CW17" s="288">
        <f t="shared" si="40"/>
        <v>3.5450112401318012</v>
      </c>
      <c r="CX17" s="288">
        <f t="shared" si="40"/>
        <v>3.4285714285714253</v>
      </c>
      <c r="CY17" s="288"/>
      <c r="CZ17" s="288">
        <f t="shared" ref="CZ17:DC26" si="41">(CZ6/CU6-1)*100</f>
        <v>4.3546365914787</v>
      </c>
      <c r="DA17" s="288">
        <f t="shared" si="41"/>
        <v>4.3411330049260899</v>
      </c>
      <c r="DB17" s="288">
        <f t="shared" si="41"/>
        <v>4.0935672514619936</v>
      </c>
      <c r="DC17" s="369">
        <f t="shared" si="41"/>
        <v>5.064456721915267</v>
      </c>
      <c r="DD17" s="288"/>
    </row>
    <row r="18" spans="1:108" x14ac:dyDescent="0.2">
      <c r="A18" s="178" t="s">
        <v>95</v>
      </c>
      <c r="B18" s="184"/>
      <c r="C18" s="179">
        <f t="shared" si="16"/>
        <v>1.3240561490869274</v>
      </c>
      <c r="D18" s="179">
        <f t="shared" si="16"/>
        <v>31.911684313450039</v>
      </c>
      <c r="E18" s="179">
        <f t="shared" si="16"/>
        <v>6.8337781980894352</v>
      </c>
      <c r="F18" s="179">
        <f t="shared" si="16"/>
        <v>16.832426819141343</v>
      </c>
      <c r="G18" s="265">
        <f t="shared" si="16"/>
        <v>-0.11899706374572938</v>
      </c>
      <c r="H18" s="265">
        <f t="shared" si="16"/>
        <v>-7.615873792204864</v>
      </c>
      <c r="I18" s="264">
        <f t="shared" si="17"/>
        <v>-49.145863000658373</v>
      </c>
      <c r="J18" s="265">
        <f>((J7/I7)-1)*100</f>
        <v>14.784941969073074</v>
      </c>
      <c r="K18" s="264">
        <f t="shared" si="18"/>
        <v>2.1593380407472385</v>
      </c>
      <c r="L18" s="263">
        <f t="shared" si="18"/>
        <v>4.0664443666175165</v>
      </c>
      <c r="M18" s="263">
        <f t="shared" si="18"/>
        <v>3.2615878635101847</v>
      </c>
      <c r="N18" s="263">
        <f t="shared" si="18"/>
        <v>1.1919148326425599</v>
      </c>
      <c r="O18" s="263">
        <f t="shared" si="18"/>
        <v>1.4001146059994696</v>
      </c>
      <c r="P18" s="263">
        <f t="shared" si="18"/>
        <v>6.9014720234594096</v>
      </c>
      <c r="Q18" s="263">
        <f t="shared" si="18"/>
        <v>6.1523211110353193</v>
      </c>
      <c r="R18" s="185">
        <f t="shared" si="19"/>
        <v>-11.247078689485079</v>
      </c>
      <c r="S18" s="185">
        <f t="shared" si="20"/>
        <v>-6.5541347235936964</v>
      </c>
      <c r="T18" s="185">
        <f t="shared" si="21"/>
        <v>-4.8393382342941997</v>
      </c>
      <c r="U18" s="185">
        <f t="shared" si="22"/>
        <v>-9.4685952780611764</v>
      </c>
      <c r="V18" s="185"/>
      <c r="W18" s="185">
        <f t="shared" si="23"/>
        <v>10.802824601613704</v>
      </c>
      <c r="X18" s="185">
        <f t="shared" si="23"/>
        <v>1.319330781204453</v>
      </c>
      <c r="Y18" s="185">
        <f t="shared" si="23"/>
        <v>12.414675423965683</v>
      </c>
      <c r="Z18" s="185">
        <f t="shared" si="23"/>
        <v>15.707656806414594</v>
      </c>
      <c r="AA18" s="185"/>
      <c r="AB18" s="185">
        <f t="shared" si="24"/>
        <v>0.79390054395231946</v>
      </c>
      <c r="AC18" s="185">
        <f t="shared" si="24"/>
        <v>-0.97167490502508835</v>
      </c>
      <c r="AD18" s="185">
        <f t="shared" si="24"/>
        <v>-9.0974662843963934</v>
      </c>
      <c r="AE18" s="185">
        <f t="shared" si="24"/>
        <v>-4.8654838571867369</v>
      </c>
      <c r="AF18" s="185"/>
      <c r="AG18" s="185">
        <f t="shared" si="25"/>
        <v>9.7521363335043354</v>
      </c>
      <c r="AH18" s="185">
        <f t="shared" si="25"/>
        <v>11.823213570165269</v>
      </c>
      <c r="AI18" s="185">
        <f t="shared" si="25"/>
        <v>25.20943579541759</v>
      </c>
      <c r="AJ18" s="185">
        <f t="shared" si="25"/>
        <v>33.862894371924398</v>
      </c>
      <c r="AK18" s="185"/>
      <c r="AL18" s="185">
        <f t="shared" si="26"/>
        <v>33.529872330759616</v>
      </c>
      <c r="AM18" s="185">
        <f t="shared" si="26"/>
        <v>34.673047652913191</v>
      </c>
      <c r="AN18" s="185">
        <f t="shared" si="26"/>
        <v>18.460370135721238</v>
      </c>
      <c r="AO18" s="185">
        <f t="shared" si="26"/>
        <v>11.211506334651556</v>
      </c>
      <c r="AP18" s="185"/>
      <c r="AQ18" s="185">
        <f t="shared" si="27"/>
        <v>-2.1342024821480177E-2</v>
      </c>
      <c r="AR18" s="185">
        <f t="shared" si="27"/>
        <v>-0.72566092224799483</v>
      </c>
      <c r="AS18" s="185">
        <f t="shared" si="27"/>
        <v>7.1031380927561782</v>
      </c>
      <c r="AT18" s="185">
        <f t="shared" si="27"/>
        <v>13.429553221853464</v>
      </c>
      <c r="AU18" s="185"/>
      <c r="AV18" s="185">
        <f t="shared" si="28"/>
        <v>28.543463258066161</v>
      </c>
      <c r="AW18" s="185">
        <f t="shared" si="28"/>
        <v>18.907854398636935</v>
      </c>
      <c r="AX18" s="185">
        <f t="shared" si="28"/>
        <v>1.9151222209109031</v>
      </c>
      <c r="AY18" s="185">
        <f t="shared" si="28"/>
        <v>-3.03771150933283</v>
      </c>
      <c r="AZ18" s="185"/>
      <c r="BA18" s="185">
        <f t="shared" si="29"/>
        <v>-3.9823714050468029</v>
      </c>
      <c r="BB18" s="185">
        <f t="shared" si="29"/>
        <v>5.1875324056742</v>
      </c>
      <c r="BC18" s="185">
        <f t="shared" si="29"/>
        <v>14.911752908524312</v>
      </c>
      <c r="BD18" s="185">
        <f t="shared" si="29"/>
        <v>10.336378530914715</v>
      </c>
      <c r="BE18" s="185"/>
      <c r="BF18" s="185">
        <f t="shared" si="30"/>
        <v>8.3810001470147721</v>
      </c>
      <c r="BG18" s="185">
        <f t="shared" si="30"/>
        <v>-61.069279637232874</v>
      </c>
      <c r="BH18" s="185">
        <f t="shared" si="30"/>
        <v>-58.909989221376321</v>
      </c>
      <c r="BI18" s="185">
        <f t="shared" si="30"/>
        <v>-57.26959838232122</v>
      </c>
      <c r="BJ18" s="185"/>
      <c r="BK18" s="185">
        <f t="shared" si="31"/>
        <v>-56.450598622450741</v>
      </c>
      <c r="BL18" s="269">
        <f t="shared" si="31"/>
        <v>19.165743719966045</v>
      </c>
      <c r="BM18" s="268">
        <f t="shared" si="31"/>
        <v>15.266781440084397</v>
      </c>
      <c r="BN18" s="268">
        <f t="shared" si="31"/>
        <v>11.228722235156784</v>
      </c>
      <c r="BO18" s="185"/>
      <c r="BP18" s="263">
        <f t="shared" si="32"/>
        <v>14.664198325670007</v>
      </c>
      <c r="BQ18" s="263">
        <f t="shared" si="32"/>
        <v>17.912275213462348</v>
      </c>
      <c r="BR18" s="263">
        <f t="shared" si="32"/>
        <v>13.240196241011049</v>
      </c>
      <c r="BS18" s="263">
        <f t="shared" si="32"/>
        <v>5.7824216272927886</v>
      </c>
      <c r="BT18" s="263"/>
      <c r="BU18" s="263">
        <f t="shared" si="33"/>
        <v>5.4685922355557359E-2</v>
      </c>
      <c r="BV18" s="263">
        <f t="shared" si="33"/>
        <v>-9.1141033583056146</v>
      </c>
      <c r="BW18" s="263">
        <f t="shared" si="33"/>
        <v>-2.595835873475294</v>
      </c>
      <c r="BX18" s="263">
        <f t="shared" si="33"/>
        <v>6.6792501254582914</v>
      </c>
      <c r="BY18" s="263"/>
      <c r="BZ18" s="263">
        <f t="shared" si="34"/>
        <v>1.4066259187367702</v>
      </c>
      <c r="CA18" s="263">
        <f t="shared" si="34"/>
        <v>11.655729344231268</v>
      </c>
      <c r="CB18" s="263"/>
      <c r="CC18" s="263">
        <f t="shared" si="35"/>
        <v>7.0449237030331124</v>
      </c>
      <c r="CD18" s="263">
        <f t="shared" si="35"/>
        <v>-0.27908337381682413</v>
      </c>
      <c r="CE18" s="263"/>
      <c r="CF18" s="263">
        <f t="shared" si="36"/>
        <v>4.0191934728633028</v>
      </c>
      <c r="CG18" s="263">
        <f t="shared" si="36"/>
        <v>2.4062904135058405</v>
      </c>
      <c r="CH18" s="263">
        <f t="shared" si="37"/>
        <v>-2.1783621608161829</v>
      </c>
      <c r="CI18" s="288">
        <f t="shared" si="37"/>
        <v>-0.22131912174510049</v>
      </c>
      <c r="CJ18" s="288"/>
      <c r="CK18" s="288">
        <f t="shared" si="38"/>
        <v>3.5634687615571536</v>
      </c>
      <c r="CL18" s="288">
        <f t="shared" si="39"/>
        <v>3.6955353335694774</v>
      </c>
      <c r="CM18" s="288">
        <f t="shared" si="40"/>
        <v>1.3198629690815533</v>
      </c>
      <c r="CN18" s="288">
        <f t="shared" si="40"/>
        <v>1.8068149119722321</v>
      </c>
      <c r="CO18" s="288"/>
      <c r="CP18" s="288">
        <f t="shared" si="40"/>
        <v>0.25537789209122419</v>
      </c>
      <c r="CQ18" s="288">
        <f t="shared" si="40"/>
        <v>2.2273350678247761</v>
      </c>
      <c r="CR18" s="288">
        <f t="shared" si="40"/>
        <v>4.003595166153362</v>
      </c>
      <c r="CS18" s="288">
        <f t="shared" si="40"/>
        <v>7.3832205486531244</v>
      </c>
      <c r="CT18" s="288"/>
      <c r="CU18" s="288">
        <f t="shared" si="40"/>
        <v>8.1993392279447121</v>
      </c>
      <c r="CV18" s="288">
        <f t="shared" si="40"/>
        <v>7.9623084530082266</v>
      </c>
      <c r="CW18" s="288">
        <f t="shared" si="40"/>
        <v>6.8418990269175195</v>
      </c>
      <c r="CX18" s="288">
        <f t="shared" si="40"/>
        <v>5.8318652516398117</v>
      </c>
      <c r="CY18" s="288"/>
      <c r="CZ18" s="288">
        <f t="shared" si="41"/>
        <v>7.0773143759583546</v>
      </c>
      <c r="DA18" s="288">
        <f t="shared" si="41"/>
        <v>4.9137931034482829</v>
      </c>
      <c r="DB18" s="288">
        <f t="shared" si="41"/>
        <v>3.3139534883720678</v>
      </c>
      <c r="DC18" s="369">
        <f t="shared" si="41"/>
        <v>-5.7471264367814356E-2</v>
      </c>
      <c r="DD18" s="288"/>
    </row>
    <row r="19" spans="1:108" x14ac:dyDescent="0.2">
      <c r="A19" s="178" t="s">
        <v>96</v>
      </c>
      <c r="B19" s="184"/>
      <c r="C19" s="179">
        <f t="shared" si="16"/>
        <v>8.7904905991535554</v>
      </c>
      <c r="D19" s="179">
        <f t="shared" si="16"/>
        <v>28.04592229349079</v>
      </c>
      <c r="E19" s="179">
        <f t="shared" si="16"/>
        <v>8.381944307157152</v>
      </c>
      <c r="F19" s="179">
        <f t="shared" si="16"/>
        <v>5.1510526615661023</v>
      </c>
      <c r="G19" s="265">
        <f t="shared" si="16"/>
        <v>7.5790768672617137</v>
      </c>
      <c r="H19" s="265">
        <f t="shared" si="16"/>
        <v>-11.404725014361928</v>
      </c>
      <c r="I19" s="264">
        <f t="shared" si="17"/>
        <v>-36.571255202892431</v>
      </c>
      <c r="J19" s="265">
        <f>((J8/I8)-1)*100</f>
        <v>2.945621897137074</v>
      </c>
      <c r="K19" s="264">
        <f t="shared" si="18"/>
        <v>3.9981713917919492</v>
      </c>
      <c r="L19" s="263">
        <f t="shared" si="18"/>
        <v>0.62559714453287452</v>
      </c>
      <c r="M19" s="263">
        <f t="shared" si="18"/>
        <v>-2.7759768829352161</v>
      </c>
      <c r="N19" s="263">
        <f t="shared" si="18"/>
        <v>4.9766363858920526</v>
      </c>
      <c r="O19" s="263">
        <f t="shared" si="18"/>
        <v>2.2816684326692149</v>
      </c>
      <c r="P19" s="263">
        <f t="shared" si="18"/>
        <v>-0.61042994051061505</v>
      </c>
      <c r="Q19" s="263">
        <f t="shared" si="18"/>
        <v>1.859233397593596</v>
      </c>
      <c r="R19" s="185">
        <f t="shared" si="19"/>
        <v>-14.884132306091413</v>
      </c>
      <c r="S19" s="185">
        <f t="shared" si="20"/>
        <v>-11.828052962780456</v>
      </c>
      <c r="T19" s="185">
        <f t="shared" si="21"/>
        <v>-14.626215967498158</v>
      </c>
      <c r="U19" s="185">
        <f t="shared" si="22"/>
        <v>-15.315136890593795</v>
      </c>
      <c r="V19" s="185"/>
      <c r="W19" s="185">
        <f t="shared" si="23"/>
        <v>5.0523621707444288</v>
      </c>
      <c r="X19" s="185">
        <f t="shared" si="23"/>
        <v>6.1986135832560629</v>
      </c>
      <c r="Y19" s="185">
        <f t="shared" si="23"/>
        <v>7.365445749522137</v>
      </c>
      <c r="Z19" s="185">
        <f t="shared" si="23"/>
        <v>7.2629831754351892</v>
      </c>
      <c r="AA19" s="185"/>
      <c r="AB19" s="185">
        <f t="shared" si="24"/>
        <v>9.4897309231286364</v>
      </c>
      <c r="AC19" s="185">
        <f t="shared" si="24"/>
        <v>10.495175378291854</v>
      </c>
      <c r="AD19" s="185">
        <f t="shared" si="24"/>
        <v>6.9371737107677411</v>
      </c>
      <c r="AE19" s="185">
        <f t="shared" si="24"/>
        <v>7.6453062320744447</v>
      </c>
      <c r="AF19" s="185"/>
      <c r="AG19" s="185">
        <f t="shared" si="25"/>
        <v>7.1937974471256716</v>
      </c>
      <c r="AH19" s="185">
        <f t="shared" si="25"/>
        <v>13.147593996049123</v>
      </c>
      <c r="AI19" s="185">
        <f t="shared" si="25"/>
        <v>25.903550055633985</v>
      </c>
      <c r="AJ19" s="185">
        <f t="shared" si="25"/>
        <v>32.074400782286673</v>
      </c>
      <c r="AK19" s="185"/>
      <c r="AL19" s="185">
        <f t="shared" si="26"/>
        <v>32.86662339567328</v>
      </c>
      <c r="AM19" s="185">
        <f t="shared" si="26"/>
        <v>21.871332824491962</v>
      </c>
      <c r="AN19" s="185">
        <f t="shared" si="26"/>
        <v>16.69478093084631</v>
      </c>
      <c r="AO19" s="185">
        <f t="shared" si="26"/>
        <v>7.5278684376221872</v>
      </c>
      <c r="AP19" s="185"/>
      <c r="AQ19" s="185">
        <f t="shared" si="27"/>
        <v>4.82711916770584</v>
      </c>
      <c r="AR19" s="185">
        <f t="shared" si="27"/>
        <v>5.2369522431206184</v>
      </c>
      <c r="AS19" s="185">
        <f t="shared" si="27"/>
        <v>1.6960502610987138</v>
      </c>
      <c r="AT19" s="185">
        <f t="shared" si="27"/>
        <v>5.9425329856693354</v>
      </c>
      <c r="AU19" s="185"/>
      <c r="AV19" s="185">
        <f t="shared" si="28"/>
        <v>3.5788126196959258</v>
      </c>
      <c r="AW19" s="185">
        <f t="shared" si="28"/>
        <v>9.4182536548935261</v>
      </c>
      <c r="AX19" s="185">
        <f t="shared" si="28"/>
        <v>11.42949312198045</v>
      </c>
      <c r="AY19" s="185">
        <f t="shared" si="28"/>
        <v>7.4366616785910722</v>
      </c>
      <c r="AZ19" s="185"/>
      <c r="BA19" s="185">
        <f t="shared" si="29"/>
        <v>8.5950316595896368</v>
      </c>
      <c r="BB19" s="185">
        <f t="shared" si="29"/>
        <v>3.1496041405409514</v>
      </c>
      <c r="BC19" s="185">
        <f t="shared" si="29"/>
        <v>-2.2457809562137165</v>
      </c>
      <c r="BD19" s="185">
        <f t="shared" si="29"/>
        <v>0.65002010595154314</v>
      </c>
      <c r="BE19" s="185"/>
      <c r="BF19" s="185">
        <f t="shared" si="30"/>
        <v>2.8310651205476045</v>
      </c>
      <c r="BG19" s="185">
        <f t="shared" si="30"/>
        <v>-46.942674081036543</v>
      </c>
      <c r="BH19" s="185">
        <f t="shared" si="30"/>
        <v>-44.140229892272032</v>
      </c>
      <c r="BI19" s="185">
        <f t="shared" si="30"/>
        <v>-44.009723124860535</v>
      </c>
      <c r="BJ19" s="185"/>
      <c r="BK19" s="185">
        <f t="shared" si="31"/>
        <v>-44.274743726130907</v>
      </c>
      <c r="BL19" s="269">
        <f t="shared" si="31"/>
        <v>6.5576207929314068</v>
      </c>
      <c r="BM19" s="268">
        <f t="shared" si="31"/>
        <v>3.1516863943806595</v>
      </c>
      <c r="BN19" s="268">
        <f t="shared" si="31"/>
        <v>3.1687959098395169</v>
      </c>
      <c r="BO19" s="185"/>
      <c r="BP19" s="263">
        <f t="shared" si="32"/>
        <v>2.2472560477053927</v>
      </c>
      <c r="BQ19" s="263">
        <f t="shared" si="32"/>
        <v>3.2279829264609816</v>
      </c>
      <c r="BR19" s="263">
        <f t="shared" si="32"/>
        <v>3.9233697979251581</v>
      </c>
      <c r="BS19" s="263">
        <f t="shared" si="32"/>
        <v>3.2894524423387805</v>
      </c>
      <c r="BT19" s="263"/>
      <c r="BU19" s="263">
        <f t="shared" si="33"/>
        <v>4.428520234226907</v>
      </c>
      <c r="BV19" s="263">
        <f t="shared" si="33"/>
        <v>4.3470885736373255</v>
      </c>
      <c r="BW19" s="263">
        <f t="shared" si="33"/>
        <v>2.9580844957298291</v>
      </c>
      <c r="BX19" s="263">
        <f t="shared" si="33"/>
        <v>1.9942779100005747</v>
      </c>
      <c r="BY19" s="263"/>
      <c r="BZ19" s="263">
        <f t="shared" si="34"/>
        <v>-0.80228555106263144</v>
      </c>
      <c r="CA19" s="263">
        <f t="shared" si="34"/>
        <v>-1.5610467658622174</v>
      </c>
      <c r="CB19" s="263"/>
      <c r="CC19" s="263">
        <f t="shared" si="35"/>
        <v>-4.3563686488825804</v>
      </c>
      <c r="CD19" s="263">
        <f t="shared" si="35"/>
        <v>-4.6817990316984197</v>
      </c>
      <c r="CE19" s="263"/>
      <c r="CF19" s="263">
        <f t="shared" si="36"/>
        <v>-2.2000349445196687</v>
      </c>
      <c r="CG19" s="263">
        <f t="shared" si="36"/>
        <v>0.19846386493460599</v>
      </c>
      <c r="CH19" s="263">
        <f t="shared" si="37"/>
        <v>4.2298649250839926</v>
      </c>
      <c r="CI19" s="288">
        <f t="shared" si="37"/>
        <v>6.1900515151998903</v>
      </c>
      <c r="CJ19" s="288"/>
      <c r="CK19" s="288">
        <f t="shared" si="38"/>
        <v>5.2031295999678262</v>
      </c>
      <c r="CL19" s="288">
        <f t="shared" si="39"/>
        <v>4.2966467187760538</v>
      </c>
      <c r="CM19" s="288">
        <f t="shared" si="40"/>
        <v>3.6969947683014093</v>
      </c>
      <c r="CN19" s="288">
        <f t="shared" si="40"/>
        <v>1.7645445328311693</v>
      </c>
      <c r="CO19" s="288"/>
      <c r="CP19" s="288">
        <f t="shared" si="40"/>
        <v>2.0290289377540072</v>
      </c>
      <c r="CQ19" s="288">
        <f t="shared" si="40"/>
        <v>1.6732580642998984</v>
      </c>
      <c r="CR19" s="288">
        <f t="shared" si="40"/>
        <v>0.76190809985834385</v>
      </c>
      <c r="CS19" s="288">
        <f t="shared" si="40"/>
        <v>-0.53731930588678534</v>
      </c>
      <c r="CT19" s="288"/>
      <c r="CU19" s="288">
        <f t="shared" si="40"/>
        <v>-1.7577995264824731</v>
      </c>
      <c r="CV19" s="288">
        <f t="shared" si="40"/>
        <v>-0.89466582774411219</v>
      </c>
      <c r="CW19" s="288">
        <f t="shared" si="40"/>
        <v>0.70541875403660192</v>
      </c>
      <c r="CX19" s="288">
        <f t="shared" si="40"/>
        <v>1.1412163926596941</v>
      </c>
      <c r="CY19" s="288"/>
      <c r="CZ19" s="288">
        <f t="shared" si="41"/>
        <v>1.7229953611663351</v>
      </c>
      <c r="DA19" s="288">
        <f t="shared" si="41"/>
        <v>3.8688524590163809</v>
      </c>
      <c r="DB19" s="288">
        <f t="shared" si="41"/>
        <v>4.7603626943005128</v>
      </c>
      <c r="DC19" s="369">
        <f t="shared" si="41"/>
        <v>9.9316183653533017</v>
      </c>
      <c r="DD19" s="288"/>
    </row>
    <row r="20" spans="1:108" x14ac:dyDescent="0.2">
      <c r="A20" s="178" t="s">
        <v>112</v>
      </c>
      <c r="B20" s="184"/>
      <c r="C20" s="185">
        <f t="shared" ref="C20:H26" si="42">(C9/B9-1)*100</f>
        <v>-4.4243584896954236</v>
      </c>
      <c r="D20" s="185">
        <f t="shared" si="42"/>
        <v>37.585099242238229</v>
      </c>
      <c r="E20" s="185">
        <f t="shared" si="42"/>
        <v>6.0114321227533241</v>
      </c>
      <c r="F20" s="185">
        <f t="shared" si="42"/>
        <v>14.237841442325072</v>
      </c>
      <c r="G20" s="264">
        <f t="shared" si="42"/>
        <v>-0.89402736734541799</v>
      </c>
      <c r="H20" s="264">
        <f t="shared" si="42"/>
        <v>-13.061397196063639</v>
      </c>
      <c r="I20" s="264">
        <f t="shared" si="17"/>
        <v>-40.588696022129497</v>
      </c>
      <c r="J20" s="264">
        <f t="shared" ref="J20:J26" si="43">(J9/I9-1)*100</f>
        <v>10.300646782336775</v>
      </c>
      <c r="K20" s="264">
        <f t="shared" si="18"/>
        <v>2.3897633244717609</v>
      </c>
      <c r="L20" s="263">
        <f t="shared" si="18"/>
        <v>-1.5568691120864342</v>
      </c>
      <c r="M20" s="263">
        <f t="shared" si="18"/>
        <v>0.64304280980558293</v>
      </c>
      <c r="N20" s="263">
        <f t="shared" si="18"/>
        <v>5.7898960766240126</v>
      </c>
      <c r="O20" s="263">
        <f t="shared" si="18"/>
        <v>4.6677652847477713</v>
      </c>
      <c r="P20" s="263">
        <f t="shared" si="18"/>
        <v>4.0361220496462735</v>
      </c>
      <c r="Q20" s="263">
        <f t="shared" si="18"/>
        <v>8.0578405526207995</v>
      </c>
      <c r="R20" s="185">
        <f t="shared" si="19"/>
        <v>-5.0930202882572111</v>
      </c>
      <c r="S20" s="185">
        <f t="shared" si="20"/>
        <v>0.62410454814012528</v>
      </c>
      <c r="T20" s="185">
        <f t="shared" si="21"/>
        <v>-1.7066669206968199</v>
      </c>
      <c r="U20" s="185">
        <f t="shared" si="22"/>
        <v>-9.0010550660920678</v>
      </c>
      <c r="V20" s="185"/>
      <c r="W20" s="185">
        <f t="shared" si="23"/>
        <v>8.1705893302804533</v>
      </c>
      <c r="X20" s="185">
        <f t="shared" si="23"/>
        <v>1.1751828275508469</v>
      </c>
      <c r="Y20" s="185">
        <f t="shared" si="23"/>
        <v>11.445627642662037</v>
      </c>
      <c r="Z20" s="185">
        <f t="shared" si="23"/>
        <v>14.73997901801367</v>
      </c>
      <c r="AA20" s="185"/>
      <c r="AB20" s="185">
        <f t="shared" si="24"/>
        <v>2.142251666651851</v>
      </c>
      <c r="AC20" s="185">
        <f t="shared" si="24"/>
        <v>1.0088959636697759</v>
      </c>
      <c r="AD20" s="185">
        <f t="shared" si="24"/>
        <v>-13.357115527738127</v>
      </c>
      <c r="AE20" s="185">
        <f t="shared" si="24"/>
        <v>-11.409725100997703</v>
      </c>
      <c r="AF20" s="185"/>
      <c r="AG20" s="185">
        <f t="shared" si="25"/>
        <v>1.6779676731606852</v>
      </c>
      <c r="AH20" s="185">
        <f t="shared" si="25"/>
        <v>7.3128262874687655</v>
      </c>
      <c r="AI20" s="185">
        <f t="shared" si="25"/>
        <v>27.833023574083725</v>
      </c>
      <c r="AJ20" s="185">
        <f t="shared" si="25"/>
        <v>43.0511372249603</v>
      </c>
      <c r="AK20" s="185"/>
      <c r="AL20" s="185">
        <f t="shared" si="26"/>
        <v>44.397252788992802</v>
      </c>
      <c r="AM20" s="185">
        <f t="shared" si="26"/>
        <v>34.845369809495153</v>
      </c>
      <c r="AN20" s="185">
        <f t="shared" si="26"/>
        <v>21.808679811533271</v>
      </c>
      <c r="AO20" s="185">
        <f t="shared" si="26"/>
        <v>8.7567966687935428</v>
      </c>
      <c r="AP20" s="185"/>
      <c r="AQ20" s="185">
        <f t="shared" si="27"/>
        <v>-2.3749880428842074</v>
      </c>
      <c r="AR20" s="185">
        <f t="shared" si="27"/>
        <v>-1.6963666488038709</v>
      </c>
      <c r="AS20" s="185">
        <f t="shared" si="27"/>
        <v>3.8601299251053156</v>
      </c>
      <c r="AT20" s="185">
        <f t="shared" si="27"/>
        <v>13.477473481805479</v>
      </c>
      <c r="AU20" s="185"/>
      <c r="AV20" s="185">
        <f t="shared" si="28"/>
        <v>20.582142974437545</v>
      </c>
      <c r="AW20" s="185">
        <f t="shared" si="28"/>
        <v>19.680818526963506</v>
      </c>
      <c r="AX20" s="185">
        <f t="shared" si="28"/>
        <v>5.7653192824312693</v>
      </c>
      <c r="AY20" s="185">
        <f t="shared" si="28"/>
        <v>-3.7387911176048449</v>
      </c>
      <c r="AZ20" s="185"/>
      <c r="BA20" s="185">
        <f t="shared" si="29"/>
        <v>-2.3468259383624512</v>
      </c>
      <c r="BB20" s="185">
        <f t="shared" si="29"/>
        <v>-2.6380887356941329</v>
      </c>
      <c r="BC20" s="185">
        <f t="shared" si="29"/>
        <v>-0.36371067742879681</v>
      </c>
      <c r="BD20" s="185">
        <f t="shared" si="29"/>
        <v>-0.49963953238680858</v>
      </c>
      <c r="BE20" s="185"/>
      <c r="BF20" s="185">
        <f t="shared" si="30"/>
        <v>-0.6906799650055806</v>
      </c>
      <c r="BG20" s="185">
        <f t="shared" si="30"/>
        <v>-51.445164170370859</v>
      </c>
      <c r="BH20" s="185">
        <f t="shared" si="30"/>
        <v>-48.319373003347764</v>
      </c>
      <c r="BI20" s="185">
        <f t="shared" si="30"/>
        <v>-47.980759579393094</v>
      </c>
      <c r="BJ20" s="185"/>
      <c r="BK20" s="185">
        <f t="shared" si="31"/>
        <v>-47.96536757749994</v>
      </c>
      <c r="BL20" s="269">
        <f t="shared" si="31"/>
        <v>6.4288597376596535</v>
      </c>
      <c r="BM20" s="268">
        <f t="shared" si="31"/>
        <v>5.7181257294601551</v>
      </c>
      <c r="BN20" s="268">
        <f t="shared" si="31"/>
        <v>6.3430858174540194</v>
      </c>
      <c r="BO20" s="185"/>
      <c r="BP20" s="263">
        <f t="shared" si="32"/>
        <v>11.486298458945686</v>
      </c>
      <c r="BQ20" s="263">
        <f t="shared" si="32"/>
        <v>17.726048346627856</v>
      </c>
      <c r="BR20" s="263">
        <f t="shared" si="32"/>
        <v>14.45897449539939</v>
      </c>
      <c r="BS20" s="263">
        <f t="shared" si="32"/>
        <v>5.9408167690811142</v>
      </c>
      <c r="BT20" s="263"/>
      <c r="BU20" s="263">
        <f t="shared" si="33"/>
        <v>0.62925619590119553</v>
      </c>
      <c r="BV20" s="263">
        <f t="shared" si="33"/>
        <v>-10.052429209347856</v>
      </c>
      <c r="BW20" s="263">
        <f t="shared" si="33"/>
        <v>-6.0883744998831641</v>
      </c>
      <c r="BX20" s="263">
        <f t="shared" si="33"/>
        <v>0.42847247380206621</v>
      </c>
      <c r="BY20" s="263"/>
      <c r="BZ20" s="263">
        <f t="shared" si="34"/>
        <v>-4.9468808002154692</v>
      </c>
      <c r="CA20" s="263">
        <f t="shared" si="34"/>
        <v>5.1867435291766961</v>
      </c>
      <c r="CB20" s="263"/>
      <c r="CC20" s="263">
        <f t="shared" si="35"/>
        <v>0.84881485979386717</v>
      </c>
      <c r="CD20" s="263">
        <f t="shared" si="35"/>
        <v>-4.260829324995397</v>
      </c>
      <c r="CE20" s="263"/>
      <c r="CF20" s="263">
        <f t="shared" si="36"/>
        <v>2.7562473641368657</v>
      </c>
      <c r="CG20" s="263">
        <f t="shared" si="36"/>
        <v>3.4400301477012674</v>
      </c>
      <c r="CH20" s="263">
        <f t="shared" si="37"/>
        <v>1.760008237015831</v>
      </c>
      <c r="CI20" s="288">
        <f t="shared" si="37"/>
        <v>5.6272320042402679</v>
      </c>
      <c r="CJ20" s="288"/>
      <c r="CK20" s="288">
        <f t="shared" si="38"/>
        <v>8.2521867105895588</v>
      </c>
      <c r="CL20" s="288">
        <f t="shared" si="39"/>
        <v>7.5547707068094105</v>
      </c>
      <c r="CM20" s="288">
        <f t="shared" si="40"/>
        <v>6.2900619147773229</v>
      </c>
      <c r="CN20" s="288">
        <f t="shared" si="40"/>
        <v>6.5042456046512598</v>
      </c>
      <c r="CO20" s="288"/>
      <c r="CP20" s="288">
        <f t="shared" si="40"/>
        <v>2.6355754852211311</v>
      </c>
      <c r="CQ20" s="288">
        <f t="shared" si="40"/>
        <v>3.4074728885863381</v>
      </c>
      <c r="CR20" s="288">
        <f t="shared" si="40"/>
        <v>2.5036681123492777</v>
      </c>
      <c r="CS20" s="288">
        <f t="shared" si="40"/>
        <v>3.8682753948434234</v>
      </c>
      <c r="CT20" s="288"/>
      <c r="CU20" s="288">
        <f t="shared" si="40"/>
        <v>4.9695208855876638</v>
      </c>
      <c r="CV20" s="288">
        <f t="shared" si="40"/>
        <v>4.7727694262770903</v>
      </c>
      <c r="CW20" s="288">
        <f t="shared" si="40"/>
        <v>7.573046639193759</v>
      </c>
      <c r="CX20" s="288">
        <f t="shared" si="40"/>
        <v>7.532389273877671</v>
      </c>
      <c r="CY20" s="288"/>
      <c r="CZ20" s="288">
        <f t="shared" si="41"/>
        <v>9.2011834319526642</v>
      </c>
      <c r="DA20" s="288">
        <f t="shared" si="41"/>
        <v>7.9023823358512324</v>
      </c>
      <c r="DB20" s="288">
        <f t="shared" si="41"/>
        <v>3.5531552018192247</v>
      </c>
      <c r="DC20" s="369">
        <f t="shared" si="41"/>
        <v>1.3449145418884978</v>
      </c>
      <c r="DD20" s="288"/>
    </row>
    <row r="21" spans="1:108" x14ac:dyDescent="0.2">
      <c r="A21" s="178" t="s">
        <v>113</v>
      </c>
      <c r="B21" s="184"/>
      <c r="C21" s="185">
        <f t="shared" si="42"/>
        <v>11.622062719296068</v>
      </c>
      <c r="D21" s="185">
        <f t="shared" si="42"/>
        <v>23.448939052349438</v>
      </c>
      <c r="E21" s="185">
        <f t="shared" si="42"/>
        <v>11.000618167872522</v>
      </c>
      <c r="F21" s="185">
        <f t="shared" si="42"/>
        <v>3.4262650886034862</v>
      </c>
      <c r="G21" s="264">
        <f t="shared" si="42"/>
        <v>5.801346849583533</v>
      </c>
      <c r="H21" s="264">
        <f t="shared" si="42"/>
        <v>-6.0309782145022695</v>
      </c>
      <c r="I21" s="264">
        <f t="shared" si="17"/>
        <v>-36.810047615779027</v>
      </c>
      <c r="J21" s="264">
        <f t="shared" si="43"/>
        <v>14.359353591307734</v>
      </c>
      <c r="K21" s="264">
        <f t="shared" si="18"/>
        <v>6.91996941535995</v>
      </c>
      <c r="L21" s="263">
        <f t="shared" si="18"/>
        <v>6.617998553321347</v>
      </c>
      <c r="M21" s="263">
        <f t="shared" si="18"/>
        <v>-2.9170793449229016</v>
      </c>
      <c r="N21" s="263">
        <f t="shared" si="18"/>
        <v>1.6781460731934317</v>
      </c>
      <c r="O21" s="263">
        <f t="shared" si="18"/>
        <v>0.83759512004792924</v>
      </c>
      <c r="P21" s="263">
        <f t="shared" si="18"/>
        <v>1.9285417140609384</v>
      </c>
      <c r="Q21" s="263">
        <f t="shared" si="18"/>
        <v>0.98255127720223712</v>
      </c>
      <c r="R21" s="185">
        <f t="shared" si="19"/>
        <v>-31.79757374592862</v>
      </c>
      <c r="S21" s="185">
        <f t="shared" si="20"/>
        <v>-28.717407126285565</v>
      </c>
      <c r="T21" s="185">
        <f t="shared" si="21"/>
        <v>-29.730858240217028</v>
      </c>
      <c r="U21" s="185">
        <f t="shared" si="22"/>
        <v>-26.487450246025613</v>
      </c>
      <c r="V21" s="185"/>
      <c r="W21" s="185">
        <f t="shared" si="23"/>
        <v>7.6999417424703509</v>
      </c>
      <c r="X21" s="185">
        <f t="shared" si="23"/>
        <v>6.6056999691082696</v>
      </c>
      <c r="Y21" s="185">
        <f t="shared" si="23"/>
        <v>7.856851621148131</v>
      </c>
      <c r="Z21" s="185">
        <f t="shared" si="23"/>
        <v>2.5699645701017459</v>
      </c>
      <c r="AA21" s="185"/>
      <c r="AB21" s="185">
        <f t="shared" si="24"/>
        <v>3.922636548346925</v>
      </c>
      <c r="AC21" s="185">
        <f t="shared" si="24"/>
        <v>11.865591751489312</v>
      </c>
      <c r="AD21" s="185">
        <f t="shared" si="24"/>
        <v>12.892321521775663</v>
      </c>
      <c r="AE21" s="185">
        <f t="shared" si="24"/>
        <v>13.168396919838887</v>
      </c>
      <c r="AF21" s="185"/>
      <c r="AG21" s="185">
        <f t="shared" si="25"/>
        <v>14.636395341153552</v>
      </c>
      <c r="AH21" s="185">
        <f t="shared" si="25"/>
        <v>6.2761203758667339</v>
      </c>
      <c r="AI21" s="185">
        <f t="shared" si="25"/>
        <v>17.258263497532877</v>
      </c>
      <c r="AJ21" s="185">
        <f t="shared" si="25"/>
        <v>23.784523456241779</v>
      </c>
      <c r="AK21" s="185"/>
      <c r="AL21" s="185">
        <f t="shared" si="26"/>
        <v>25.496487101196898</v>
      </c>
      <c r="AM21" s="185">
        <f t="shared" si="26"/>
        <v>27.042446788790087</v>
      </c>
      <c r="AN21" s="185">
        <f t="shared" si="26"/>
        <v>20.644887906003206</v>
      </c>
      <c r="AO21" s="185">
        <f t="shared" si="26"/>
        <v>11.128036721120038</v>
      </c>
      <c r="AP21" s="185"/>
      <c r="AQ21" s="185">
        <f t="shared" si="27"/>
        <v>6.6147936312926259</v>
      </c>
      <c r="AR21" s="185">
        <f t="shared" si="27"/>
        <v>6.631163971959908</v>
      </c>
      <c r="AS21" s="185">
        <f t="shared" si="27"/>
        <v>3.9862273778200175</v>
      </c>
      <c r="AT21" s="185">
        <f t="shared" si="27"/>
        <v>6.0639868364430027</v>
      </c>
      <c r="AU21" s="185"/>
      <c r="AV21" s="185">
        <f t="shared" si="28"/>
        <v>0.48618732527456743</v>
      </c>
      <c r="AW21" s="185">
        <f t="shared" si="28"/>
        <v>3.1665382733053526</v>
      </c>
      <c r="AX21" s="185">
        <f t="shared" si="28"/>
        <v>2.5143095207955435</v>
      </c>
      <c r="AY21" s="185">
        <f t="shared" si="28"/>
        <v>2.9284579507124153</v>
      </c>
      <c r="AZ21" s="185"/>
      <c r="BA21" s="185">
        <f t="shared" si="29"/>
        <v>10.377205618512741</v>
      </c>
      <c r="BB21" s="185">
        <f t="shared" si="29"/>
        <v>7.6455062876674251</v>
      </c>
      <c r="BC21" s="185">
        <f t="shared" si="29"/>
        <v>8.3669811331254387</v>
      </c>
      <c r="BD21" s="185">
        <f t="shared" si="29"/>
        <v>10.661575420361459</v>
      </c>
      <c r="BE21" s="185"/>
      <c r="BF21" s="185">
        <f t="shared" si="30"/>
        <v>12.323926327022683</v>
      </c>
      <c r="BG21" s="185">
        <f t="shared" si="30"/>
        <v>-54.130126686774524</v>
      </c>
      <c r="BH21" s="185">
        <f t="shared" si="30"/>
        <v>-47.681134619337804</v>
      </c>
      <c r="BI21" s="185">
        <f t="shared" si="30"/>
        <v>-47.538916126681052</v>
      </c>
      <c r="BJ21" s="185"/>
      <c r="BK21" s="185">
        <f t="shared" si="31"/>
        <v>-45.539907678788424</v>
      </c>
      <c r="BL21" s="269">
        <f t="shared" si="31"/>
        <v>34.041476213697578</v>
      </c>
      <c r="BM21" s="268">
        <f t="shared" si="31"/>
        <v>16.015786815724109</v>
      </c>
      <c r="BN21" s="268">
        <f t="shared" si="31"/>
        <v>13.703045420492742</v>
      </c>
      <c r="BO21" s="185"/>
      <c r="BP21" s="263">
        <f t="shared" si="32"/>
        <v>14.912842702393792</v>
      </c>
      <c r="BQ21" s="263">
        <f t="shared" si="32"/>
        <v>12.942038102346643</v>
      </c>
      <c r="BR21" s="263">
        <f t="shared" si="32"/>
        <v>11.4807396219613</v>
      </c>
      <c r="BS21" s="263">
        <f t="shared" si="32"/>
        <v>12.256377023512144</v>
      </c>
      <c r="BT21" s="263"/>
      <c r="BU21" s="263">
        <f t="shared" si="33"/>
        <v>2.1330654407986982</v>
      </c>
      <c r="BV21" s="263">
        <f t="shared" si="33"/>
        <v>2.6152729458747803</v>
      </c>
      <c r="BW21" s="263">
        <f t="shared" si="33"/>
        <v>6.2198810494512369</v>
      </c>
      <c r="BX21" s="263">
        <f t="shared" si="33"/>
        <v>9.5619163279209385</v>
      </c>
      <c r="BY21" s="263"/>
      <c r="BZ21" s="263">
        <f t="shared" si="34"/>
        <v>5.8573833478037018</v>
      </c>
      <c r="CA21" s="263">
        <f t="shared" si="34"/>
        <v>4.8083273934260484</v>
      </c>
      <c r="CB21" s="263"/>
      <c r="CC21" s="263">
        <f t="shared" si="35"/>
        <v>-1.2746077522994392</v>
      </c>
      <c r="CD21" s="263">
        <f t="shared" si="35"/>
        <v>-5.5596285637779852</v>
      </c>
      <c r="CE21" s="263"/>
      <c r="CF21" s="263">
        <f t="shared" si="36"/>
        <v>-2.3535734049976664</v>
      </c>
      <c r="CG21" s="263">
        <f t="shared" si="36"/>
        <v>-2.3580383437645236</v>
      </c>
      <c r="CH21" s="263">
        <f t="shared" si="37"/>
        <v>-0.86214385588433418</v>
      </c>
      <c r="CI21" s="288">
        <f t="shared" si="37"/>
        <v>0.20665903164356347</v>
      </c>
      <c r="CJ21" s="288"/>
      <c r="CK21" s="288">
        <f t="shared" si="38"/>
        <v>2.7347245279360388</v>
      </c>
      <c r="CL21" s="288">
        <f t="shared" si="39"/>
        <v>4.7012059379018867</v>
      </c>
      <c r="CM21" s="288">
        <f t="shared" si="40"/>
        <v>2.1681870253196234</v>
      </c>
      <c r="CN21" s="288">
        <f t="shared" si="40"/>
        <v>0.72297339917415382</v>
      </c>
      <c r="CO21" s="288"/>
      <c r="CP21" s="288">
        <f t="shared" si="40"/>
        <v>0.63148578749459006</v>
      </c>
      <c r="CQ21" s="288">
        <f t="shared" si="40"/>
        <v>-0.13076337198282273</v>
      </c>
      <c r="CR21" s="288">
        <f t="shared" si="40"/>
        <v>1.0262986716571554</v>
      </c>
      <c r="CS21" s="288">
        <f t="shared" si="40"/>
        <v>0.28668314570332587</v>
      </c>
      <c r="CT21" s="288"/>
      <c r="CU21" s="288">
        <f t="shared" si="40"/>
        <v>4.2660939425740008</v>
      </c>
      <c r="CV21" s="288">
        <f t="shared" si="40"/>
        <v>2.1141566238020548</v>
      </c>
      <c r="CW21" s="288">
        <f t="shared" si="40"/>
        <v>-3.8944776274545623</v>
      </c>
      <c r="CX21" s="288">
        <f t="shared" si="40"/>
        <v>3.7549407114624511</v>
      </c>
      <c r="CY21" s="288"/>
      <c r="CZ21" s="288">
        <f t="shared" si="41"/>
        <v>-0.78468298807281567</v>
      </c>
      <c r="DA21" s="288">
        <f t="shared" si="41"/>
        <v>4.855601396382081</v>
      </c>
      <c r="DB21" s="288">
        <f t="shared" si="41"/>
        <v>13.134732566012207</v>
      </c>
      <c r="DC21" s="369">
        <f t="shared" si="41"/>
        <v>9.8412698412698276</v>
      </c>
      <c r="DD21" s="288"/>
    </row>
    <row r="22" spans="1:108" x14ac:dyDescent="0.2">
      <c r="A22" s="178" t="s">
        <v>114</v>
      </c>
      <c r="B22" s="184"/>
      <c r="C22" s="185">
        <f t="shared" si="42"/>
        <v>10.173218634306158</v>
      </c>
      <c r="D22" s="185">
        <f t="shared" si="42"/>
        <v>26.597528466102037</v>
      </c>
      <c r="E22" s="185">
        <f t="shared" si="42"/>
        <v>3.1425836018511566</v>
      </c>
      <c r="F22" s="185">
        <f t="shared" si="42"/>
        <v>5.7279015700543834</v>
      </c>
      <c r="G22" s="264">
        <f t="shared" si="42"/>
        <v>8.8079339490534814</v>
      </c>
      <c r="H22" s="264">
        <f t="shared" si="42"/>
        <v>-4.196374561968419</v>
      </c>
      <c r="I22" s="264">
        <f t="shared" si="17"/>
        <v>-49.718757882629994</v>
      </c>
      <c r="J22" s="264">
        <f t="shared" si="43"/>
        <v>7.2024396449268169</v>
      </c>
      <c r="K22" s="264">
        <f t="shared" si="18"/>
        <v>2.988484287779225</v>
      </c>
      <c r="L22" s="263">
        <f t="shared" si="18"/>
        <v>12.532147682811079</v>
      </c>
      <c r="M22" s="263">
        <f t="shared" si="18"/>
        <v>4.7034027651018828</v>
      </c>
      <c r="N22" s="263">
        <f t="shared" si="18"/>
        <v>1.7593098828183606E-2</v>
      </c>
      <c r="O22" s="263">
        <f t="shared" si="18"/>
        <v>-1.4706809035522239</v>
      </c>
      <c r="P22" s="263">
        <f t="shared" si="18"/>
        <v>2.1849808258299186</v>
      </c>
      <c r="Q22" s="263">
        <f t="shared" si="18"/>
        <v>2.2908827408122168</v>
      </c>
      <c r="R22" s="185">
        <f t="shared" si="19"/>
        <v>-7.4871979315540349</v>
      </c>
      <c r="S22" s="185">
        <f t="shared" si="20"/>
        <v>-9.625696653957549</v>
      </c>
      <c r="T22" s="185">
        <f t="shared" si="21"/>
        <v>-9.0098036137527977</v>
      </c>
      <c r="U22" s="185">
        <f t="shared" si="22"/>
        <v>-6.8564852835611312</v>
      </c>
      <c r="V22" s="185"/>
      <c r="W22" s="185">
        <f t="shared" si="23"/>
        <v>9.5078197170022083</v>
      </c>
      <c r="X22" s="185">
        <f t="shared" si="23"/>
        <v>8.2085885093590161</v>
      </c>
      <c r="Y22" s="185">
        <f t="shared" si="23"/>
        <v>5.1518195717899617</v>
      </c>
      <c r="Z22" s="185">
        <f t="shared" si="23"/>
        <v>5.1401944259294119</v>
      </c>
      <c r="AA22" s="185"/>
      <c r="AB22" s="185">
        <f t="shared" si="24"/>
        <v>0.6673434209758744</v>
      </c>
      <c r="AC22" s="185">
        <f t="shared" si="24"/>
        <v>-1.735304592673359</v>
      </c>
      <c r="AD22" s="185">
        <f t="shared" si="24"/>
        <v>4.7087566967648042</v>
      </c>
      <c r="AE22" s="185">
        <f t="shared" si="24"/>
        <v>5.8578927748612397</v>
      </c>
      <c r="AF22" s="185"/>
      <c r="AG22" s="185">
        <f t="shared" si="25"/>
        <v>10.318167292159576</v>
      </c>
      <c r="AH22" s="185">
        <f t="shared" si="25"/>
        <v>19.801790119265238</v>
      </c>
      <c r="AI22" s="185">
        <f t="shared" si="25"/>
        <v>28.276102273997928</v>
      </c>
      <c r="AJ22" s="185">
        <f t="shared" si="25"/>
        <v>30.316701930551183</v>
      </c>
      <c r="AK22" s="185"/>
      <c r="AL22" s="185">
        <f t="shared" si="26"/>
        <v>27.637693689233256</v>
      </c>
      <c r="AM22" s="185">
        <f t="shared" si="26"/>
        <v>20.865298877824312</v>
      </c>
      <c r="AN22" s="185">
        <f t="shared" si="26"/>
        <v>8.0960270306233539</v>
      </c>
      <c r="AO22" s="185">
        <f t="shared" si="26"/>
        <v>3.2330153267757566</v>
      </c>
      <c r="AP22" s="185"/>
      <c r="AQ22" s="185">
        <f t="shared" si="27"/>
        <v>1.4343536545496915</v>
      </c>
      <c r="AR22" s="185">
        <f t="shared" si="27"/>
        <v>0.16414145010466008</v>
      </c>
      <c r="AS22" s="185">
        <f t="shared" si="27"/>
        <v>2.4523184537662779</v>
      </c>
      <c r="AT22" s="185">
        <f t="shared" si="27"/>
        <v>6.9405556596065843</v>
      </c>
      <c r="AU22" s="185"/>
      <c r="AV22" s="185">
        <f t="shared" si="28"/>
        <v>7.3802646750915635</v>
      </c>
      <c r="AW22" s="185">
        <f t="shared" si="28"/>
        <v>6.1481348569009553</v>
      </c>
      <c r="AX22" s="185">
        <f t="shared" si="28"/>
        <v>5.5681707401568525</v>
      </c>
      <c r="AY22" s="185">
        <f t="shared" si="28"/>
        <v>4.7406648704258814</v>
      </c>
      <c r="AZ22" s="185"/>
      <c r="BA22" s="185">
        <f t="shared" si="29"/>
        <v>6.7160648113053778</v>
      </c>
      <c r="BB22" s="185">
        <f t="shared" si="29"/>
        <v>18.078134008925794</v>
      </c>
      <c r="BC22" s="185">
        <f t="shared" si="29"/>
        <v>18.81785155786211</v>
      </c>
      <c r="BD22" s="185">
        <f t="shared" si="29"/>
        <v>17.198859152346003</v>
      </c>
      <c r="BE22" s="185"/>
      <c r="BF22" s="185">
        <f t="shared" si="30"/>
        <v>13.170699275068332</v>
      </c>
      <c r="BG22" s="185">
        <f t="shared" si="30"/>
        <v>-58.6976833191002</v>
      </c>
      <c r="BH22" s="185">
        <f t="shared" si="30"/>
        <v>-59.555214856519534</v>
      </c>
      <c r="BI22" s="185">
        <f t="shared" si="30"/>
        <v>-58.000634888464518</v>
      </c>
      <c r="BJ22" s="185"/>
      <c r="BK22" s="185">
        <f t="shared" si="31"/>
        <v>-56.93252462732589</v>
      </c>
      <c r="BL22" s="269">
        <f t="shared" si="31"/>
        <v>13.371959211452511</v>
      </c>
      <c r="BM22" s="268">
        <f t="shared" si="31"/>
        <v>14.060312643210548</v>
      </c>
      <c r="BN22" s="268">
        <f t="shared" si="31"/>
        <v>9.7335993680903741</v>
      </c>
      <c r="BO22" s="185"/>
      <c r="BP22" s="263">
        <f t="shared" si="32"/>
        <v>8.1514490717600872</v>
      </c>
      <c r="BQ22" s="263">
        <f t="shared" si="32"/>
        <v>-2.0982306283782615</v>
      </c>
      <c r="BR22" s="263">
        <f t="shared" si="32"/>
        <v>1.2755813420965101</v>
      </c>
      <c r="BS22" s="263">
        <f t="shared" si="32"/>
        <v>1.8561449333486246</v>
      </c>
      <c r="BT22" s="263"/>
      <c r="BU22" s="263">
        <f t="shared" si="33"/>
        <v>1.9421052819257767</v>
      </c>
      <c r="BV22" s="263">
        <f t="shared" si="33"/>
        <v>7.0240552670865153</v>
      </c>
      <c r="BW22" s="263">
        <f t="shared" si="33"/>
        <v>8.8765584728521141</v>
      </c>
      <c r="BX22" s="263">
        <f t="shared" si="33"/>
        <v>11.738570609396803</v>
      </c>
      <c r="BY22" s="263"/>
      <c r="BZ22" s="263">
        <f t="shared" si="34"/>
        <v>12.806609895707034</v>
      </c>
      <c r="CA22" s="263">
        <f t="shared" si="34"/>
        <v>16.600027141088326</v>
      </c>
      <c r="CB22" s="263"/>
      <c r="CC22" s="263">
        <f t="shared" si="35"/>
        <v>10.650097090249243</v>
      </c>
      <c r="CD22" s="263">
        <f t="shared" si="35"/>
        <v>6.3652264917177792</v>
      </c>
      <c r="CE22" s="263"/>
      <c r="CF22" s="263">
        <f t="shared" si="36"/>
        <v>2.3037089595745242</v>
      </c>
      <c r="CG22" s="263">
        <f t="shared" si="36"/>
        <v>4.5632294703623622E-2</v>
      </c>
      <c r="CH22" s="263">
        <f t="shared" si="37"/>
        <v>-0.42947109869657663</v>
      </c>
      <c r="CI22" s="288">
        <f t="shared" si="37"/>
        <v>-0.60722515538985666</v>
      </c>
      <c r="CJ22" s="288"/>
      <c r="CK22" s="288">
        <f t="shared" si="38"/>
        <v>0.85800172734784574</v>
      </c>
      <c r="CL22" s="288">
        <f t="shared" si="39"/>
        <v>0.26501532928036031</v>
      </c>
      <c r="CM22" s="288">
        <f t="shared" si="40"/>
        <v>-4.2967561154520499</v>
      </c>
      <c r="CN22" s="288">
        <f t="shared" si="40"/>
        <v>-1.8204264365792922</v>
      </c>
      <c r="CO22" s="288"/>
      <c r="CP22" s="288">
        <f t="shared" si="40"/>
        <v>9.3398738418959404E-2</v>
      </c>
      <c r="CQ22" s="288">
        <f t="shared" si="40"/>
        <v>0.14362539956911391</v>
      </c>
      <c r="CR22" s="288">
        <f t="shared" si="40"/>
        <v>4.5319435705564182</v>
      </c>
      <c r="CS22" s="288">
        <f t="shared" si="40"/>
        <v>0.10047735512883627</v>
      </c>
      <c r="CT22" s="288"/>
      <c r="CU22" s="288">
        <f t="shared" si="40"/>
        <v>1.3508832133908077</v>
      </c>
      <c r="CV22" s="288">
        <f t="shared" si="40"/>
        <v>2.8149878354790436</v>
      </c>
      <c r="CW22" s="288">
        <f t="shared" si="40"/>
        <v>1.2790573213443679</v>
      </c>
      <c r="CX22" s="288">
        <f t="shared" si="40"/>
        <v>4.1258031788975247</v>
      </c>
      <c r="CY22" s="288"/>
      <c r="CZ22" s="288">
        <f t="shared" si="41"/>
        <v>1.7094017094017033</v>
      </c>
      <c r="DA22" s="288">
        <f t="shared" si="41"/>
        <v>2.0940721649484573</v>
      </c>
      <c r="DB22" s="288">
        <f t="shared" si="41"/>
        <v>4.8212528697933799</v>
      </c>
      <c r="DC22" s="369">
        <f t="shared" si="41"/>
        <v>5.099058135758372</v>
      </c>
      <c r="DD22" s="288"/>
    </row>
    <row r="23" spans="1:108" x14ac:dyDescent="0.2">
      <c r="A23" s="178" t="s">
        <v>115</v>
      </c>
      <c r="B23" s="184"/>
      <c r="C23" s="185">
        <f t="shared" si="42"/>
        <v>18.738691583092692</v>
      </c>
      <c r="D23" s="185">
        <f t="shared" si="42"/>
        <v>25.282685379352877</v>
      </c>
      <c r="E23" s="185">
        <f t="shared" si="42"/>
        <v>15.60447284835924</v>
      </c>
      <c r="F23" s="185">
        <f t="shared" si="42"/>
        <v>6.8563702830148898E-2</v>
      </c>
      <c r="G23" s="264">
        <f t="shared" si="42"/>
        <v>7.5499365630641968</v>
      </c>
      <c r="H23" s="264">
        <f t="shared" si="42"/>
        <v>-0.75137669131926099</v>
      </c>
      <c r="I23" s="264">
        <f t="shared" si="17"/>
        <v>-46.81701125458796</v>
      </c>
      <c r="J23" s="264">
        <f t="shared" si="43"/>
        <v>0.81372822302674397</v>
      </c>
      <c r="K23" s="264">
        <f t="shared" si="18"/>
        <v>-2.228521679562534</v>
      </c>
      <c r="L23" s="263">
        <f t="shared" si="18"/>
        <v>0.23242830307137474</v>
      </c>
      <c r="M23" s="263">
        <f t="shared" si="18"/>
        <v>-5.1050311910622481</v>
      </c>
      <c r="N23" s="263">
        <f t="shared" si="18"/>
        <v>3.7402046653452592</v>
      </c>
      <c r="O23" s="263">
        <f t="shared" si="18"/>
        <v>-3.2442183479053366E-2</v>
      </c>
      <c r="P23" s="263">
        <f t="shared" si="18"/>
        <v>0.24386151327409067</v>
      </c>
      <c r="Q23" s="263">
        <f t="shared" si="18"/>
        <v>0.54183467885771108</v>
      </c>
      <c r="R23" s="185">
        <f t="shared" si="19"/>
        <v>-14.384158823244174</v>
      </c>
      <c r="S23" s="185">
        <f t="shared" si="20"/>
        <v>-6.3123800417283267</v>
      </c>
      <c r="T23" s="185">
        <f t="shared" si="21"/>
        <v>-8.9342343867665264</v>
      </c>
      <c r="U23" s="185">
        <f t="shared" si="22"/>
        <v>-8.2978827433779827</v>
      </c>
      <c r="V23" s="185"/>
      <c r="W23" s="185">
        <f t="shared" si="23"/>
        <v>7.9406852949775564</v>
      </c>
      <c r="X23" s="185">
        <f t="shared" si="23"/>
        <v>7.641756188744675</v>
      </c>
      <c r="Y23" s="185">
        <f t="shared" si="23"/>
        <v>8.6287334447451514</v>
      </c>
      <c r="Z23" s="185">
        <f t="shared" si="23"/>
        <v>11.671474308710494</v>
      </c>
      <c r="AA23" s="185"/>
      <c r="AB23" s="185">
        <f t="shared" si="24"/>
        <v>15.756884814005323</v>
      </c>
      <c r="AC23" s="185">
        <f t="shared" si="24"/>
        <v>14.208097859756874</v>
      </c>
      <c r="AD23" s="185">
        <f t="shared" si="24"/>
        <v>12.688565621825919</v>
      </c>
      <c r="AE23" s="185">
        <f t="shared" si="24"/>
        <v>24.978132919088793</v>
      </c>
      <c r="AF23" s="185"/>
      <c r="AG23" s="185">
        <f t="shared" si="25"/>
        <v>13.826750906381879</v>
      </c>
      <c r="AH23" s="185">
        <f t="shared" si="25"/>
        <v>23.183902109404464</v>
      </c>
      <c r="AI23" s="185">
        <f t="shared" si="25"/>
        <v>30.034042798139772</v>
      </c>
      <c r="AJ23" s="185">
        <f t="shared" si="25"/>
        <v>18.691981313774498</v>
      </c>
      <c r="AK23" s="185"/>
      <c r="AL23" s="185">
        <f t="shared" si="26"/>
        <v>31.790891388435739</v>
      </c>
      <c r="AM23" s="185">
        <f t="shared" si="26"/>
        <v>21.689302430560687</v>
      </c>
      <c r="AN23" s="185">
        <f t="shared" si="26"/>
        <v>23.762786984392491</v>
      </c>
      <c r="AO23" s="185">
        <f t="shared" si="26"/>
        <v>16.887708579817694</v>
      </c>
      <c r="AP23" s="185"/>
      <c r="AQ23" s="185">
        <f t="shared" si="27"/>
        <v>13.029771083883034</v>
      </c>
      <c r="AR23" s="185">
        <f t="shared" si="27"/>
        <v>9.8496119628859624</v>
      </c>
      <c r="AS23" s="185">
        <f t="shared" si="27"/>
        <v>3.0873365357592109</v>
      </c>
      <c r="AT23" s="185">
        <f t="shared" si="27"/>
        <v>1.7533999543527745</v>
      </c>
      <c r="AU23" s="185"/>
      <c r="AV23" s="185">
        <f t="shared" si="28"/>
        <v>-3.983070467183758</v>
      </c>
      <c r="AW23" s="185">
        <f t="shared" si="28"/>
        <v>-0.44617898455270311</v>
      </c>
      <c r="AX23" s="185">
        <f t="shared" si="28"/>
        <v>1.5650736225646611</v>
      </c>
      <c r="AY23" s="185">
        <f t="shared" si="28"/>
        <v>5.5808266614082225</v>
      </c>
      <c r="AZ23" s="185"/>
      <c r="BA23" s="185">
        <f t="shared" si="29"/>
        <v>10.248871272430859</v>
      </c>
      <c r="BB23" s="185">
        <f t="shared" si="29"/>
        <v>12.962032366911579</v>
      </c>
      <c r="BC23" s="185">
        <f t="shared" si="29"/>
        <v>13.11352499244467</v>
      </c>
      <c r="BD23" s="185">
        <f t="shared" si="29"/>
        <v>17.121742613504544</v>
      </c>
      <c r="BE23" s="185"/>
      <c r="BF23" s="185">
        <f t="shared" si="30"/>
        <v>18.997694742146475</v>
      </c>
      <c r="BG23" s="185">
        <f t="shared" si="30"/>
        <v>-48.73276656171592</v>
      </c>
      <c r="BH23" s="185">
        <f t="shared" si="30"/>
        <v>-50.575569383626018</v>
      </c>
      <c r="BI23" s="185">
        <f t="shared" si="30"/>
        <v>-53.509601121526096</v>
      </c>
      <c r="BJ23" s="185"/>
      <c r="BK23" s="185">
        <f t="shared" si="31"/>
        <v>-55.861188055285481</v>
      </c>
      <c r="BL23" s="269">
        <f t="shared" si="31"/>
        <v>-5.1431647433005985</v>
      </c>
      <c r="BM23" s="268">
        <f t="shared" si="31"/>
        <v>-3.2305585908059875</v>
      </c>
      <c r="BN23" s="268">
        <f t="shared" si="31"/>
        <v>1.2861830463560819</v>
      </c>
      <c r="BO23" s="185"/>
      <c r="BP23" s="263">
        <f t="shared" si="32"/>
        <v>2.398125972107068</v>
      </c>
      <c r="BQ23" s="263">
        <f t="shared" si="32"/>
        <v>2.9473260158659809</v>
      </c>
      <c r="BR23" s="263">
        <f t="shared" si="32"/>
        <v>-2.1008054367177009</v>
      </c>
      <c r="BS23" s="263">
        <f t="shared" si="32"/>
        <v>-4.3430450849533342</v>
      </c>
      <c r="BT23" s="263"/>
      <c r="BU23" s="263">
        <f t="shared" si="33"/>
        <v>-3.3688685538063923</v>
      </c>
      <c r="BV23" s="263">
        <f t="shared" si="33"/>
        <v>0.96821180456627687</v>
      </c>
      <c r="BW23" s="263">
        <f t="shared" si="33"/>
        <v>3.2380273938946935</v>
      </c>
      <c r="BX23" s="263">
        <f t="shared" si="33"/>
        <v>4.5298932934108471</v>
      </c>
      <c r="BY23" s="263"/>
      <c r="BZ23" s="263">
        <f t="shared" si="34"/>
        <v>-0.762185082643696</v>
      </c>
      <c r="CA23" s="263">
        <f t="shared" si="34"/>
        <v>-5.8346576912028381</v>
      </c>
      <c r="CB23" s="263"/>
      <c r="CC23" s="263">
        <f t="shared" si="35"/>
        <v>-5.8211802840668287</v>
      </c>
      <c r="CD23" s="263">
        <f t="shared" si="35"/>
        <v>-8.9624712485441567</v>
      </c>
      <c r="CE23" s="263"/>
      <c r="CF23" s="263">
        <f t="shared" si="36"/>
        <v>-4.409844270954677</v>
      </c>
      <c r="CG23" s="263">
        <f t="shared" si="36"/>
        <v>-0.92292505499619315</v>
      </c>
      <c r="CH23" s="263">
        <f t="shared" si="37"/>
        <v>0.41334327975590668</v>
      </c>
      <c r="CI23" s="288">
        <f t="shared" si="37"/>
        <v>4.8563110396860454</v>
      </c>
      <c r="CJ23" s="288"/>
      <c r="CK23" s="288">
        <f t="shared" si="38"/>
        <v>4.6448489476053734</v>
      </c>
      <c r="CL23" s="288">
        <f t="shared" si="39"/>
        <v>5.059885625441618</v>
      </c>
      <c r="CM23" s="288">
        <f t="shared" si="40"/>
        <v>2.7345877514855843</v>
      </c>
      <c r="CN23" s="288">
        <f t="shared" si="40"/>
        <v>-2.3074386017683746</v>
      </c>
      <c r="CO23" s="288"/>
      <c r="CP23" s="288">
        <f t="shared" si="40"/>
        <v>-6.3514401482334115E-3</v>
      </c>
      <c r="CQ23" s="288">
        <f t="shared" si="40"/>
        <v>-0.45461039375253032</v>
      </c>
      <c r="CR23" s="288">
        <f t="shared" si="40"/>
        <v>1.940640077523681</v>
      </c>
      <c r="CS23" s="288">
        <f t="shared" si="40"/>
        <v>2.2199992543747715</v>
      </c>
      <c r="CT23" s="288"/>
      <c r="CU23" s="288">
        <f t="shared" si="40"/>
        <v>-4.5630455864984381</v>
      </c>
      <c r="CV23" s="288">
        <f t="shared" si="40"/>
        <v>1.4329599463046794</v>
      </c>
      <c r="CW23" s="288">
        <f t="shared" si="40"/>
        <v>-2.4026499051682748</v>
      </c>
      <c r="CX23" s="288">
        <f t="shared" si="40"/>
        <v>-1.2012012012012074</v>
      </c>
      <c r="CY23" s="288"/>
      <c r="CZ23" s="288">
        <f t="shared" si="41"/>
        <v>3.3437826541274918</v>
      </c>
      <c r="DA23" s="288">
        <f t="shared" si="41"/>
        <v>2.5365853658536608</v>
      </c>
      <c r="DB23" s="288">
        <f t="shared" si="41"/>
        <v>6.772237196765496</v>
      </c>
      <c r="DC23" s="369">
        <f t="shared" si="41"/>
        <v>8.476865923674449</v>
      </c>
      <c r="DD23" s="288"/>
    </row>
    <row r="24" spans="1:108" x14ac:dyDescent="0.2">
      <c r="A24" s="178" t="s">
        <v>116</v>
      </c>
      <c r="B24" s="184"/>
      <c r="C24" s="185">
        <f t="shared" si="42"/>
        <v>15.101382053202395</v>
      </c>
      <c r="D24" s="185">
        <f t="shared" si="42"/>
        <v>7.0101174541040701</v>
      </c>
      <c r="E24" s="185">
        <f t="shared" si="42"/>
        <v>6.0461259436165982</v>
      </c>
      <c r="F24" s="185">
        <f t="shared" si="42"/>
        <v>-3.3144108152942664</v>
      </c>
      <c r="G24" s="264">
        <f t="shared" si="42"/>
        <v>8.3301310650825364</v>
      </c>
      <c r="H24" s="264">
        <f t="shared" si="42"/>
        <v>-2.1203995134631226</v>
      </c>
      <c r="I24" s="264">
        <f t="shared" si="17"/>
        <v>-21.958749065082916</v>
      </c>
      <c r="J24" s="264">
        <f t="shared" si="43"/>
        <v>2.4683105846171172</v>
      </c>
      <c r="K24" s="264">
        <f t="shared" si="18"/>
        <v>4.0765836837302949</v>
      </c>
      <c r="L24" s="263">
        <f t="shared" si="18"/>
        <v>-4.3842124707704766E-2</v>
      </c>
      <c r="M24" s="263">
        <f t="shared" si="18"/>
        <v>-1.0175738773100296</v>
      </c>
      <c r="N24" s="263">
        <f t="shared" si="18"/>
        <v>1.0022260666190608</v>
      </c>
      <c r="O24" s="263">
        <f t="shared" si="18"/>
        <v>-3.7127296341848082</v>
      </c>
      <c r="P24" s="263">
        <f t="shared" si="18"/>
        <v>0.12759841346632328</v>
      </c>
      <c r="Q24" s="263">
        <f t="shared" si="18"/>
        <v>-4.2071991325325691</v>
      </c>
      <c r="R24" s="185">
        <f t="shared" si="19"/>
        <v>-15.419456030065726</v>
      </c>
      <c r="S24" s="185">
        <f t="shared" si="20"/>
        <v>-14.173586018979034</v>
      </c>
      <c r="T24" s="185">
        <f t="shared" si="21"/>
        <v>-14.835078033984184</v>
      </c>
      <c r="U24" s="185">
        <f t="shared" si="22"/>
        <v>-10.810993706015404</v>
      </c>
      <c r="V24" s="185"/>
      <c r="W24" s="185">
        <f t="shared" si="23"/>
        <v>1.9556693176357998</v>
      </c>
      <c r="X24" s="185">
        <f t="shared" si="23"/>
        <v>2.7948914373546074</v>
      </c>
      <c r="Y24" s="185">
        <f t="shared" si="23"/>
        <v>1.565330137229326</v>
      </c>
      <c r="Z24" s="185">
        <f t="shared" si="23"/>
        <v>0.77664776052370765</v>
      </c>
      <c r="AA24" s="185"/>
      <c r="AB24" s="185">
        <f t="shared" si="24"/>
        <v>6.7806868540881249</v>
      </c>
      <c r="AC24" s="185">
        <f t="shared" si="24"/>
        <v>7.6299958626216746</v>
      </c>
      <c r="AD24" s="185">
        <f t="shared" si="24"/>
        <v>10.135526475357048</v>
      </c>
      <c r="AE24" s="185">
        <f t="shared" si="24"/>
        <v>24.399481586830298</v>
      </c>
      <c r="AF24" s="185"/>
      <c r="AG24" s="185">
        <f t="shared" si="25"/>
        <v>16.630470294490518</v>
      </c>
      <c r="AH24" s="185">
        <f t="shared" si="25"/>
        <v>9.6128543607877592</v>
      </c>
      <c r="AI24" s="185">
        <f t="shared" si="25"/>
        <v>14.212989183819303</v>
      </c>
      <c r="AJ24" s="185">
        <f t="shared" si="25"/>
        <v>2.3795911701698591</v>
      </c>
      <c r="AK24" s="185"/>
      <c r="AL24" s="185">
        <f t="shared" si="26"/>
        <v>4.3811432229865721</v>
      </c>
      <c r="AM24" s="185">
        <f t="shared" si="26"/>
        <v>7.9296323003340108</v>
      </c>
      <c r="AN24" s="185">
        <f t="shared" si="26"/>
        <v>6.0893095143835563</v>
      </c>
      <c r="AO24" s="185">
        <f t="shared" si="26"/>
        <v>5.6265389040616176</v>
      </c>
      <c r="AP24" s="185"/>
      <c r="AQ24" s="185">
        <f t="shared" si="27"/>
        <v>5.5981902832696662</v>
      </c>
      <c r="AR24" s="185">
        <f t="shared" si="27"/>
        <v>6.8712770641501608</v>
      </c>
      <c r="AS24" s="185">
        <f t="shared" si="27"/>
        <v>-2.2119817771009243</v>
      </c>
      <c r="AT24" s="185">
        <f t="shared" si="27"/>
        <v>-1.061838043556107</v>
      </c>
      <c r="AU24" s="185"/>
      <c r="AV24" s="185">
        <f t="shared" si="28"/>
        <v>-3.7072363703505085</v>
      </c>
      <c r="AW24" s="185">
        <f t="shared" si="28"/>
        <v>-6.1999762411626635</v>
      </c>
      <c r="AX24" s="185">
        <f t="shared" si="28"/>
        <v>8.9972292807427579</v>
      </c>
      <c r="AY24" s="185">
        <f t="shared" si="28"/>
        <v>6.2807570653424127</v>
      </c>
      <c r="AZ24" s="185"/>
      <c r="BA24" s="185">
        <f t="shared" si="29"/>
        <v>7.1549756088730376</v>
      </c>
      <c r="BB24" s="185">
        <f t="shared" si="29"/>
        <v>10.973728853327591</v>
      </c>
      <c r="BC24" s="185">
        <f t="shared" si="29"/>
        <v>4.79279792739149</v>
      </c>
      <c r="BD24" s="185">
        <f t="shared" si="29"/>
        <v>8.0666239471308678</v>
      </c>
      <c r="BE24" s="185"/>
      <c r="BF24" s="185">
        <f t="shared" si="30"/>
        <v>10.222805468114405</v>
      </c>
      <c r="BG24" s="185">
        <f t="shared" si="30"/>
        <v>-31.261743007249088</v>
      </c>
      <c r="BH24" s="185">
        <f t="shared" si="30"/>
        <v>-30.871884235760138</v>
      </c>
      <c r="BI24" s="185">
        <f t="shared" si="30"/>
        <v>-29.664539871760297</v>
      </c>
      <c r="BJ24" s="185"/>
      <c r="BK24" s="185">
        <f t="shared" si="31"/>
        <v>-27.861128225603061</v>
      </c>
      <c r="BL24" s="269">
        <f t="shared" si="31"/>
        <v>12.884741772520636</v>
      </c>
      <c r="BM24" s="268">
        <f t="shared" si="31"/>
        <v>7.1215647577415941</v>
      </c>
      <c r="BN24" s="268">
        <f t="shared" si="31"/>
        <v>2.526873343129421</v>
      </c>
      <c r="BO24" s="185"/>
      <c r="BP24" s="263">
        <f t="shared" si="32"/>
        <v>-0.76804501833043215</v>
      </c>
      <c r="BQ24" s="263">
        <f t="shared" si="32"/>
        <v>1.3665328279618416</v>
      </c>
      <c r="BR24" s="263">
        <f t="shared" si="32"/>
        <v>2.9066734439103126</v>
      </c>
      <c r="BS24" s="263">
        <f t="shared" si="32"/>
        <v>4.3394183645798945</v>
      </c>
      <c r="BT24" s="263"/>
      <c r="BU24" s="263">
        <f t="shared" si="33"/>
        <v>4.6998155444633261</v>
      </c>
      <c r="BV24" s="263">
        <f t="shared" si="33"/>
        <v>4.3493005653519656</v>
      </c>
      <c r="BW24" s="263">
        <f t="shared" si="33"/>
        <v>3.190176476906581</v>
      </c>
      <c r="BX24" s="263">
        <f t="shared" si="33"/>
        <v>0.23714399103855754</v>
      </c>
      <c r="BY24" s="263"/>
      <c r="BZ24" s="263">
        <f t="shared" si="34"/>
        <v>-0.53665819721459007</v>
      </c>
      <c r="CA24" s="263">
        <f t="shared" si="34"/>
        <v>-2.9582378448544944</v>
      </c>
      <c r="CB24" s="263"/>
      <c r="CC24" s="263">
        <f t="shared" si="35"/>
        <v>-1.9505432307290294</v>
      </c>
      <c r="CD24" s="263">
        <f t="shared" si="35"/>
        <v>-0.43156577996072976</v>
      </c>
      <c r="CE24" s="263"/>
      <c r="CF24" s="263">
        <f t="shared" si="36"/>
        <v>-1.99476953349772</v>
      </c>
      <c r="CG24" s="263">
        <f t="shared" si="36"/>
        <v>0.34431687038247727</v>
      </c>
      <c r="CH24" s="263">
        <f t="shared" si="37"/>
        <v>0.47764727025068066</v>
      </c>
      <c r="CI24" s="288">
        <f t="shared" si="37"/>
        <v>1.1316978806924283</v>
      </c>
      <c r="CJ24" s="288"/>
      <c r="CK24" s="288">
        <f t="shared" si="38"/>
        <v>2.0239405843984315</v>
      </c>
      <c r="CL24" s="288">
        <f t="shared" si="39"/>
        <v>0.38295954401204035</v>
      </c>
      <c r="CM24" s="288">
        <f t="shared" si="40"/>
        <v>-2.477144932268549</v>
      </c>
      <c r="CN24" s="288">
        <f t="shared" si="40"/>
        <v>-6.0416976277732459</v>
      </c>
      <c r="CO24" s="288"/>
      <c r="CP24" s="288">
        <f t="shared" si="40"/>
        <v>-4.5054714356306818</v>
      </c>
      <c r="CQ24" s="288">
        <f t="shared" si="40"/>
        <v>-1.7970865038378081</v>
      </c>
      <c r="CR24" s="288">
        <f t="shared" si="40"/>
        <v>-0.67713058524380143</v>
      </c>
      <c r="CS24" s="288">
        <f t="shared" si="40"/>
        <v>3.7600439431212607</v>
      </c>
      <c r="CT24" s="288"/>
      <c r="CU24" s="288">
        <f t="shared" si="40"/>
        <v>0.79848694807738152</v>
      </c>
      <c r="CV24" s="288">
        <f t="shared" si="40"/>
        <v>-3.2456385879420235</v>
      </c>
      <c r="CW24" s="288">
        <f t="shared" si="40"/>
        <v>-4.5406701895069235</v>
      </c>
      <c r="CX24" s="288">
        <f t="shared" si="40"/>
        <v>-6.8390609050697382</v>
      </c>
      <c r="CY24" s="288"/>
      <c r="CZ24" s="288">
        <f t="shared" si="41"/>
        <v>-4.1393583994480903</v>
      </c>
      <c r="DA24" s="288">
        <f t="shared" si="41"/>
        <v>-1.201413427561826</v>
      </c>
      <c r="DB24" s="288">
        <f t="shared" si="41"/>
        <v>1.7322266329844682</v>
      </c>
      <c r="DC24" s="369">
        <f t="shared" si="41"/>
        <v>7.3411249086924535</v>
      </c>
      <c r="DD24" s="288"/>
    </row>
    <row r="25" spans="1:108" x14ac:dyDescent="0.2">
      <c r="A25" s="178" t="s">
        <v>117</v>
      </c>
      <c r="B25" s="184"/>
      <c r="C25" s="185">
        <f t="shared" si="42"/>
        <v>17.494936929425521</v>
      </c>
      <c r="D25" s="185">
        <f t="shared" si="42"/>
        <v>7.9065648911989861</v>
      </c>
      <c r="E25" s="185">
        <f t="shared" si="42"/>
        <v>3.2357100850564091</v>
      </c>
      <c r="F25" s="185">
        <f t="shared" si="42"/>
        <v>11.844344021389674</v>
      </c>
      <c r="G25" s="264">
        <f t="shared" si="42"/>
        <v>11.72130541536076</v>
      </c>
      <c r="H25" s="264">
        <f t="shared" si="42"/>
        <v>-10.907962577552011</v>
      </c>
      <c r="I25" s="264">
        <f t="shared" si="17"/>
        <v>-42.172179118628328</v>
      </c>
      <c r="J25" s="264">
        <f t="shared" si="43"/>
        <v>5.2644326224955851</v>
      </c>
      <c r="K25" s="264">
        <f t="shared" si="18"/>
        <v>6.2795592859373972</v>
      </c>
      <c r="L25" s="263">
        <f t="shared" si="18"/>
        <v>1.8988153892149917</v>
      </c>
      <c r="M25" s="263">
        <f t="shared" si="18"/>
        <v>4.0741510823532279</v>
      </c>
      <c r="N25" s="263">
        <f t="shared" si="18"/>
        <v>3.0053266041101256</v>
      </c>
      <c r="O25" s="263">
        <f t="shared" si="18"/>
        <v>2.3480861298182054</v>
      </c>
      <c r="P25" s="263">
        <f t="shared" si="18"/>
        <v>4.7862317749655103</v>
      </c>
      <c r="Q25" s="263">
        <f t="shared" si="18"/>
        <v>1.6130520724152442</v>
      </c>
      <c r="R25" s="185">
        <f t="shared" si="19"/>
        <v>-21.489957137865122</v>
      </c>
      <c r="S25" s="185">
        <f t="shared" si="20"/>
        <v>-23.648379802701371</v>
      </c>
      <c r="T25" s="185">
        <f t="shared" si="21"/>
        <v>-24.781250576686244</v>
      </c>
      <c r="U25" s="185">
        <f t="shared" si="22"/>
        <v>-26.307921062878602</v>
      </c>
      <c r="V25" s="185"/>
      <c r="W25" s="185">
        <f t="shared" si="23"/>
        <v>4.0095624502871852</v>
      </c>
      <c r="X25" s="185">
        <f t="shared" si="23"/>
        <v>7.9650069255478018</v>
      </c>
      <c r="Y25" s="185">
        <f t="shared" si="23"/>
        <v>20.504633969100095</v>
      </c>
      <c r="Z25" s="185">
        <f t="shared" si="23"/>
        <v>22.032089651888409</v>
      </c>
      <c r="AA25" s="185"/>
      <c r="AB25" s="185">
        <f t="shared" si="24"/>
        <v>30.602472104743271</v>
      </c>
      <c r="AC25" s="185">
        <f t="shared" si="24"/>
        <v>32.809707940578001</v>
      </c>
      <c r="AD25" s="185">
        <f t="shared" si="24"/>
        <v>25.054157824495469</v>
      </c>
      <c r="AE25" s="185">
        <f t="shared" si="24"/>
        <v>24.157380387112859</v>
      </c>
      <c r="AF25" s="185"/>
      <c r="AG25" s="185">
        <f t="shared" si="25"/>
        <v>14.970567677758284</v>
      </c>
      <c r="AH25" s="185">
        <f t="shared" si="25"/>
        <v>7.6415958088697389</v>
      </c>
      <c r="AI25" s="185">
        <f t="shared" si="25"/>
        <v>11.378287237449891</v>
      </c>
      <c r="AJ25" s="185">
        <f t="shared" si="25"/>
        <v>14.494560631420427</v>
      </c>
      <c r="AK25" s="185"/>
      <c r="AL25" s="185">
        <f t="shared" si="26"/>
        <v>1.8217427845899081</v>
      </c>
      <c r="AM25" s="185">
        <f t="shared" si="26"/>
        <v>3.9696849689587532</v>
      </c>
      <c r="AN25" s="185">
        <f t="shared" si="26"/>
        <v>-2.3765244529713625</v>
      </c>
      <c r="AO25" s="185">
        <f t="shared" si="26"/>
        <v>-0.90985863560384406</v>
      </c>
      <c r="AP25" s="185"/>
      <c r="AQ25" s="185">
        <f t="shared" si="27"/>
        <v>5.0783839307894096</v>
      </c>
      <c r="AR25" s="185">
        <f t="shared" si="27"/>
        <v>11.948224038577093</v>
      </c>
      <c r="AS25" s="185">
        <f t="shared" si="27"/>
        <v>8.644489582470726</v>
      </c>
      <c r="AT25" s="185">
        <f t="shared" si="27"/>
        <v>5.0411587199495234</v>
      </c>
      <c r="AU25" s="185"/>
      <c r="AV25" s="185">
        <f t="shared" si="28"/>
        <v>16.959318138255284</v>
      </c>
      <c r="AW25" s="185">
        <f t="shared" si="28"/>
        <v>16.729070683719137</v>
      </c>
      <c r="AX25" s="185">
        <f t="shared" si="28"/>
        <v>15.471100695981299</v>
      </c>
      <c r="AY25" s="185">
        <f t="shared" si="28"/>
        <v>17.831871183204619</v>
      </c>
      <c r="AZ25" s="185"/>
      <c r="BA25" s="185">
        <f t="shared" si="29"/>
        <v>12.250042559642038</v>
      </c>
      <c r="BB25" s="185">
        <f t="shared" si="29"/>
        <v>2.6504997162507093</v>
      </c>
      <c r="BC25" s="185">
        <f t="shared" si="29"/>
        <v>7.6897827098922011</v>
      </c>
      <c r="BD25" s="185">
        <f t="shared" si="29"/>
        <v>3.393719061691769</v>
      </c>
      <c r="BE25" s="185"/>
      <c r="BF25" s="185">
        <f t="shared" si="30"/>
        <v>3.952079216751625</v>
      </c>
      <c r="BG25" s="185">
        <f t="shared" si="30"/>
        <v>-58.27624512817804</v>
      </c>
      <c r="BH25" s="185">
        <f t="shared" si="30"/>
        <v>-53.896486689739433</v>
      </c>
      <c r="BI25" s="185">
        <f t="shared" si="30"/>
        <v>-50.474574386703196</v>
      </c>
      <c r="BJ25" s="185"/>
      <c r="BK25" s="185">
        <f t="shared" si="31"/>
        <v>-49.580182192319491</v>
      </c>
      <c r="BL25" s="269">
        <f t="shared" si="31"/>
        <v>26.427365719691352</v>
      </c>
      <c r="BM25" s="268">
        <f t="shared" si="31"/>
        <v>10.950730700091826</v>
      </c>
      <c r="BN25" s="268">
        <f t="shared" si="31"/>
        <v>3.6551780746574725</v>
      </c>
      <c r="BO25" s="185"/>
      <c r="BP25" s="263">
        <f t="shared" si="32"/>
        <v>2.119241950422901</v>
      </c>
      <c r="BQ25" s="263">
        <f t="shared" si="32"/>
        <v>4.7958039940251496</v>
      </c>
      <c r="BR25" s="263">
        <f t="shared" si="32"/>
        <v>6.7639468284722115</v>
      </c>
      <c r="BS25" s="263">
        <f t="shared" si="32"/>
        <v>7.0284407827826634</v>
      </c>
      <c r="BT25" s="263"/>
      <c r="BU25" s="263">
        <f t="shared" si="33"/>
        <v>6.7910172478789832</v>
      </c>
      <c r="BV25" s="263">
        <f t="shared" si="33"/>
        <v>4.5900349386692518</v>
      </c>
      <c r="BW25" s="263">
        <f t="shared" si="33"/>
        <v>0.44662687926360078</v>
      </c>
      <c r="BX25" s="263">
        <f t="shared" si="33"/>
        <v>1.5503132809228104</v>
      </c>
      <c r="BY25" s="263"/>
      <c r="BZ25" s="263">
        <f t="shared" si="34"/>
        <v>2.5619377705110358</v>
      </c>
      <c r="CA25" s="263">
        <f t="shared" si="34"/>
        <v>3.0145433213981221</v>
      </c>
      <c r="CB25" s="263"/>
      <c r="CC25" s="263">
        <f t="shared" si="35"/>
        <v>6.7528941365726958</v>
      </c>
      <c r="CD25" s="263">
        <f t="shared" si="35"/>
        <v>4.8455846409035441</v>
      </c>
      <c r="CE25" s="263"/>
      <c r="CF25" s="263">
        <f t="shared" si="36"/>
        <v>2.1308266337598969</v>
      </c>
      <c r="CG25" s="263">
        <f t="shared" si="36"/>
        <v>2.6739776330932497</v>
      </c>
      <c r="CH25" s="263">
        <f t="shared" si="37"/>
        <v>1.5198991135230822</v>
      </c>
      <c r="CI25" s="288">
        <f t="shared" si="37"/>
        <v>2.7405474631734039</v>
      </c>
      <c r="CJ25" s="288"/>
      <c r="CK25" s="288">
        <f t="shared" si="38"/>
        <v>4.4291297154877229</v>
      </c>
      <c r="CL25" s="288">
        <f t="shared" si="39"/>
        <v>3.3495288198619022</v>
      </c>
      <c r="CM25" s="288">
        <f t="shared" si="40"/>
        <v>2.1887140581661635</v>
      </c>
      <c r="CN25" s="288">
        <f t="shared" si="40"/>
        <v>2.1682395623979778</v>
      </c>
      <c r="CO25" s="288"/>
      <c r="CP25" s="288">
        <f t="shared" si="40"/>
        <v>2.3017888116293905</v>
      </c>
      <c r="CQ25" s="288">
        <f t="shared" si="40"/>
        <v>2.728489966826797</v>
      </c>
      <c r="CR25" s="288">
        <f t="shared" si="40"/>
        <v>3.3185216599907807</v>
      </c>
      <c r="CS25" s="288">
        <f t="shared" si="40"/>
        <v>2.7619557699468444</v>
      </c>
      <c r="CT25" s="288"/>
      <c r="CU25" s="288">
        <f t="shared" si="40"/>
        <v>3.7276911940620217E-2</v>
      </c>
      <c r="CV25" s="288">
        <f t="shared" si="40"/>
        <v>12.92105551317535</v>
      </c>
      <c r="CW25" s="288">
        <f t="shared" si="40"/>
        <v>13.102041602377422</v>
      </c>
      <c r="CX25" s="288">
        <f t="shared" si="40"/>
        <v>1.7126546146527311</v>
      </c>
      <c r="CY25" s="288"/>
      <c r="CZ25" s="288">
        <f t="shared" si="41"/>
        <v>2.0994832041343781</v>
      </c>
      <c r="DA25" s="288">
        <f t="shared" si="41"/>
        <v>-9.1683224524552909</v>
      </c>
      <c r="DB25" s="288">
        <f t="shared" si="41"/>
        <v>-8.9887640449438209</v>
      </c>
      <c r="DC25" s="369">
        <f t="shared" si="41"/>
        <v>8.5126286248830674</v>
      </c>
      <c r="DD25" s="288"/>
    </row>
    <row r="26" spans="1:108" s="177" customFormat="1" x14ac:dyDescent="0.2">
      <c r="A26" s="333" t="s">
        <v>118</v>
      </c>
      <c r="B26" s="334"/>
      <c r="C26" s="335">
        <f t="shared" si="42"/>
        <v>33.125599750090082</v>
      </c>
      <c r="D26" s="335">
        <f t="shared" si="42"/>
        <v>35.404791432655493</v>
      </c>
      <c r="E26" s="335">
        <f t="shared" si="42"/>
        <v>19.031133005086499</v>
      </c>
      <c r="F26" s="335">
        <f t="shared" si="42"/>
        <v>15.08730305447774</v>
      </c>
      <c r="G26" s="336">
        <f t="shared" si="42"/>
        <v>12.354101682293628</v>
      </c>
      <c r="H26" s="336">
        <f t="shared" si="42"/>
        <v>-11.295040950469549</v>
      </c>
      <c r="I26" s="336">
        <f t="shared" si="17"/>
        <v>-54.085439296743786</v>
      </c>
      <c r="J26" s="336">
        <f t="shared" si="43"/>
        <v>7.8014219278119468</v>
      </c>
      <c r="K26" s="336">
        <f t="shared" si="18"/>
        <v>2.5475910060384299</v>
      </c>
      <c r="L26" s="336">
        <f t="shared" si="18"/>
        <v>5.0403847282421088</v>
      </c>
      <c r="M26" s="336">
        <f t="shared" si="18"/>
        <v>-1.8169193497502567</v>
      </c>
      <c r="N26" s="336">
        <f t="shared" si="18"/>
        <v>-2.3274978159365411</v>
      </c>
      <c r="O26" s="336">
        <f t="shared" si="18"/>
        <v>3.1489246670723947</v>
      </c>
      <c r="P26" s="336">
        <f t="shared" si="18"/>
        <v>3.2638542218142996</v>
      </c>
      <c r="Q26" s="336">
        <f t="shared" si="18"/>
        <v>3.1959672502272163</v>
      </c>
      <c r="R26" s="335">
        <f t="shared" si="19"/>
        <v>-33.453415114367232</v>
      </c>
      <c r="S26" s="335">
        <f t="shared" si="20"/>
        <v>-32.385025462506775</v>
      </c>
      <c r="T26" s="335">
        <f t="shared" si="21"/>
        <v>-28.42565046870935</v>
      </c>
      <c r="U26" s="335">
        <f t="shared" si="22"/>
        <v>-29.108891601121933</v>
      </c>
      <c r="V26" s="335"/>
      <c r="W26" s="335">
        <f t="shared" si="23"/>
        <v>7.2300139387701412</v>
      </c>
      <c r="X26" s="335">
        <f t="shared" si="23"/>
        <v>8.3374030883303085</v>
      </c>
      <c r="Y26" s="335">
        <f t="shared" si="23"/>
        <v>5.4859781200919278</v>
      </c>
      <c r="Z26" s="335">
        <f t="shared" si="23"/>
        <v>4.2831948183720492</v>
      </c>
      <c r="AA26" s="335"/>
      <c r="AB26" s="335">
        <f t="shared" si="24"/>
        <v>12.126324557412026</v>
      </c>
      <c r="AC26" s="335">
        <f t="shared" si="24"/>
        <v>10.267040709346764</v>
      </c>
      <c r="AD26" s="335">
        <f t="shared" si="24"/>
        <v>33.74956402296425</v>
      </c>
      <c r="AE26" s="335">
        <f t="shared" si="24"/>
        <v>30.117355034719285</v>
      </c>
      <c r="AF26" s="335"/>
      <c r="AG26" s="335">
        <f t="shared" si="25"/>
        <v>26.430061277468475</v>
      </c>
      <c r="AH26" s="335">
        <f t="shared" si="25"/>
        <v>42.08492429555335</v>
      </c>
      <c r="AI26" s="335">
        <f t="shared" si="25"/>
        <v>34.846551266419887</v>
      </c>
      <c r="AJ26" s="335">
        <f t="shared" si="25"/>
        <v>39.577026291230744</v>
      </c>
      <c r="AK26" s="335"/>
      <c r="AL26" s="335">
        <f t="shared" si="26"/>
        <v>35.490273067164303</v>
      </c>
      <c r="AM26" s="335">
        <f t="shared" si="26"/>
        <v>32.284652775194544</v>
      </c>
      <c r="AN26" s="335">
        <f t="shared" si="26"/>
        <v>22.365054715693166</v>
      </c>
      <c r="AO26" s="335">
        <f t="shared" si="26"/>
        <v>22.949162741021077</v>
      </c>
      <c r="AP26" s="335"/>
      <c r="AQ26" s="335">
        <f t="shared" si="27"/>
        <v>19.837436832115873</v>
      </c>
      <c r="AR26" s="335">
        <f t="shared" si="27"/>
        <v>11.878155593847794</v>
      </c>
      <c r="AS26" s="335">
        <f t="shared" si="27"/>
        <v>8.4570192125422707</v>
      </c>
      <c r="AT26" s="335">
        <f t="shared" si="27"/>
        <v>6.4789148243854955</v>
      </c>
      <c r="AU26" s="335"/>
      <c r="AV26" s="335">
        <f t="shared" si="28"/>
        <v>25.539571702042153</v>
      </c>
      <c r="AW26" s="335">
        <f t="shared" si="28"/>
        <v>19.574658585520034</v>
      </c>
      <c r="AX26" s="335">
        <f t="shared" si="28"/>
        <v>17.271902213954181</v>
      </c>
      <c r="AY26" s="335">
        <f t="shared" si="28"/>
        <v>19.919086951566211</v>
      </c>
      <c r="AZ26" s="335"/>
      <c r="BA26" s="335">
        <f t="shared" si="29"/>
        <v>3.3836678483508908</v>
      </c>
      <c r="BB26" s="335">
        <f t="shared" si="29"/>
        <v>10.759863366315358</v>
      </c>
      <c r="BC26" s="335">
        <f t="shared" si="29"/>
        <v>7.2786532006655635</v>
      </c>
      <c r="BD26" s="335">
        <f t="shared" si="29"/>
        <v>5.7681905929152233</v>
      </c>
      <c r="BE26" s="335"/>
      <c r="BF26" s="335">
        <f t="shared" si="30"/>
        <v>11.59692571499853</v>
      </c>
      <c r="BG26" s="335">
        <f t="shared" si="30"/>
        <v>-66.588888183751777</v>
      </c>
      <c r="BH26" s="335">
        <f t="shared" si="30"/>
        <v>-64.224590469383259</v>
      </c>
      <c r="BI26" s="335">
        <f t="shared" si="30"/>
        <v>-61.114005595466246</v>
      </c>
      <c r="BJ26" s="335"/>
      <c r="BK26" s="337">
        <f t="shared" si="31"/>
        <v>-61.692689081830885</v>
      </c>
      <c r="BL26" s="338">
        <f t="shared" si="31"/>
        <v>21.400083288024518</v>
      </c>
      <c r="BM26" s="339">
        <f t="shared" si="31"/>
        <v>17.002168183655808</v>
      </c>
      <c r="BN26" s="339">
        <f t="shared" si="31"/>
        <v>8.3660783771928315</v>
      </c>
      <c r="BO26" s="337"/>
      <c r="BP26" s="336">
        <f t="shared" si="32"/>
        <v>1.2941595824492946</v>
      </c>
      <c r="BQ26" s="336">
        <f t="shared" si="32"/>
        <v>5.8694754859007325</v>
      </c>
      <c r="BR26" s="336">
        <f t="shared" si="32"/>
        <v>0.4968868599844134</v>
      </c>
      <c r="BS26" s="336">
        <f t="shared" si="32"/>
        <v>-1.5924441505745901</v>
      </c>
      <c r="BT26" s="336"/>
      <c r="BU26" s="336">
        <f t="shared" si="33"/>
        <v>7.7667263963891342</v>
      </c>
      <c r="BV26" s="336">
        <f t="shared" si="33"/>
        <v>3.497555265200547</v>
      </c>
      <c r="BW26" s="336">
        <f t="shared" si="33"/>
        <v>7.6396278169055254</v>
      </c>
      <c r="BX26" s="336">
        <f t="shared" si="33"/>
        <v>10.409933293897055</v>
      </c>
      <c r="BY26" s="336"/>
      <c r="BZ26" s="336">
        <f t="shared" si="34"/>
        <v>1.7926665138431774</v>
      </c>
      <c r="CA26" s="336">
        <f t="shared" si="34"/>
        <v>0.90078723584687825</v>
      </c>
      <c r="CB26" s="336"/>
      <c r="CC26" s="336">
        <f t="shared" si="35"/>
        <v>-1.9611111543899384</v>
      </c>
      <c r="CD26" s="336">
        <f t="shared" si="35"/>
        <v>-3.9093134530205575</v>
      </c>
      <c r="CE26" s="336"/>
      <c r="CF26" s="336">
        <f t="shared" si="36"/>
        <v>-0.80023361518717362</v>
      </c>
      <c r="CG26" s="336">
        <f t="shared" si="36"/>
        <v>-0.57963293464609045</v>
      </c>
      <c r="CH26" s="336">
        <f t="shared" si="37"/>
        <v>-0.16646350084013051</v>
      </c>
      <c r="CI26" s="336">
        <f t="shared" si="37"/>
        <v>-1.6767857477935522</v>
      </c>
      <c r="CJ26" s="336"/>
      <c r="CK26" s="336">
        <f t="shared" si="38"/>
        <v>-4.37624769546251</v>
      </c>
      <c r="CL26" s="336">
        <f t="shared" si="39"/>
        <v>-3.0027180131148024</v>
      </c>
      <c r="CM26" s="336">
        <f t="shared" si="40"/>
        <v>1.6928959321531822</v>
      </c>
      <c r="CN26" s="336">
        <f t="shared" si="40"/>
        <v>0.87804076968940326</v>
      </c>
      <c r="CO26" s="336"/>
      <c r="CP26" s="336">
        <f t="shared" si="40"/>
        <v>4.9736255849254452</v>
      </c>
      <c r="CQ26" s="336">
        <f t="shared" si="40"/>
        <v>5.0548598215545582</v>
      </c>
      <c r="CR26" s="336">
        <f t="shared" si="40"/>
        <v>2.9460730021022341</v>
      </c>
      <c r="CS26" s="336">
        <f t="shared" si="40"/>
        <v>5.2533988762208939</v>
      </c>
      <c r="CT26" s="336"/>
      <c r="CU26" s="336">
        <f t="shared" si="40"/>
        <v>1.9962650701538021</v>
      </c>
      <c r="CV26" s="336">
        <f t="shared" si="40"/>
        <v>2.9408105821348007</v>
      </c>
      <c r="CW26" s="336">
        <f t="shared" si="40"/>
        <v>2.2381343684729549</v>
      </c>
      <c r="CX26" s="336">
        <f t="shared" si="40"/>
        <v>0.94309965419678843</v>
      </c>
      <c r="CY26" s="336"/>
      <c r="CZ26" s="336">
        <f t="shared" si="41"/>
        <v>2.631578947368407</v>
      </c>
      <c r="DA26" s="336">
        <f t="shared" si="41"/>
        <v>6.9050554870530245</v>
      </c>
      <c r="DB26" s="336">
        <f t="shared" si="41"/>
        <v>8.8362068965517349</v>
      </c>
      <c r="DC26" s="370">
        <f t="shared" si="41"/>
        <v>12.457178449081274</v>
      </c>
      <c r="DD26" s="371"/>
    </row>
    <row r="27" spans="1:108" s="177" customFormat="1" ht="12.75" hidden="1" customHeight="1" x14ac:dyDescent="0.2">
      <c r="A27" s="459"/>
      <c r="B27" s="454"/>
      <c r="C27" s="455"/>
      <c r="D27" s="455"/>
      <c r="E27" s="455"/>
      <c r="F27" s="455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5"/>
      <c r="AX27" s="455"/>
      <c r="AY27" s="455"/>
      <c r="AZ27" s="455"/>
      <c r="BA27" s="455"/>
      <c r="BB27" s="455"/>
      <c r="BC27" s="455"/>
      <c r="BD27" s="455"/>
      <c r="BE27" s="455"/>
      <c r="BF27" s="455"/>
      <c r="BG27" s="455"/>
      <c r="BH27" s="455"/>
      <c r="BI27" s="455"/>
      <c r="BJ27" s="455"/>
      <c r="BK27" s="456"/>
      <c r="BL27" s="457"/>
      <c r="BM27" s="458"/>
      <c r="BN27" s="458"/>
      <c r="BO27" s="456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460"/>
      <c r="DD27" s="371"/>
    </row>
    <row r="28" spans="1:108" s="177" customFormat="1" hidden="1" x14ac:dyDescent="0.2">
      <c r="A28" s="178" t="s">
        <v>94</v>
      </c>
      <c r="B28" s="454"/>
      <c r="C28" s="455"/>
      <c r="D28" s="455"/>
      <c r="E28" s="455"/>
      <c r="F28" s="455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55"/>
      <c r="AF28" s="455"/>
      <c r="AG28" s="455"/>
      <c r="AH28" s="455"/>
      <c r="AI28" s="455"/>
      <c r="AJ28" s="455"/>
      <c r="AK28" s="455"/>
      <c r="AL28" s="455"/>
      <c r="AM28" s="455"/>
      <c r="AN28" s="455"/>
      <c r="AO28" s="455"/>
      <c r="AP28" s="455"/>
      <c r="AQ28" s="455"/>
      <c r="AR28" s="455"/>
      <c r="AS28" s="455"/>
      <c r="AT28" s="455"/>
      <c r="AU28" s="455"/>
      <c r="AV28" s="455"/>
      <c r="AW28" s="455"/>
      <c r="AX28" s="455"/>
      <c r="AY28" s="455"/>
      <c r="AZ28" s="455"/>
      <c r="BA28" s="455"/>
      <c r="BB28" s="455"/>
      <c r="BC28" s="455"/>
      <c r="BD28" s="455"/>
      <c r="BE28" s="455"/>
      <c r="BF28" s="455"/>
      <c r="BG28" s="455"/>
      <c r="BH28" s="455"/>
      <c r="BI28" s="455"/>
      <c r="BJ28" s="455"/>
      <c r="BK28" s="456"/>
      <c r="BL28" s="457"/>
      <c r="BM28" s="458"/>
      <c r="BN28" s="458"/>
      <c r="BO28" s="456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460"/>
      <c r="DD28" s="371"/>
    </row>
    <row r="29" spans="1:108" s="177" customFormat="1" hidden="1" x14ac:dyDescent="0.2">
      <c r="A29" s="178" t="s">
        <v>95</v>
      </c>
      <c r="B29" s="454"/>
      <c r="C29" s="455"/>
      <c r="D29" s="455"/>
      <c r="E29" s="455"/>
      <c r="F29" s="455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  <c r="AI29" s="455"/>
      <c r="AJ29" s="455"/>
      <c r="AK29" s="455"/>
      <c r="AL29" s="455"/>
      <c r="AM29" s="455"/>
      <c r="AN29" s="455"/>
      <c r="AO29" s="455"/>
      <c r="AP29" s="455"/>
      <c r="AQ29" s="455"/>
      <c r="AR29" s="455"/>
      <c r="AS29" s="455"/>
      <c r="AT29" s="455"/>
      <c r="AU29" s="455"/>
      <c r="AV29" s="455"/>
      <c r="AW29" s="455"/>
      <c r="AX29" s="455"/>
      <c r="AY29" s="455"/>
      <c r="AZ29" s="455"/>
      <c r="BA29" s="455"/>
      <c r="BB29" s="455"/>
      <c r="BC29" s="455"/>
      <c r="BD29" s="455"/>
      <c r="BE29" s="455"/>
      <c r="BF29" s="455"/>
      <c r="BG29" s="455"/>
      <c r="BH29" s="455"/>
      <c r="BI29" s="455"/>
      <c r="BJ29" s="455"/>
      <c r="BK29" s="456"/>
      <c r="BL29" s="457"/>
      <c r="BM29" s="458"/>
      <c r="BN29" s="458"/>
      <c r="BO29" s="456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460"/>
      <c r="DD29" s="371"/>
    </row>
    <row r="30" spans="1:108" s="177" customFormat="1" hidden="1" x14ac:dyDescent="0.2">
      <c r="A30" s="178" t="s">
        <v>96</v>
      </c>
      <c r="B30" s="454"/>
      <c r="C30" s="455"/>
      <c r="D30" s="455"/>
      <c r="E30" s="455"/>
      <c r="F30" s="455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E30" s="455"/>
      <c r="AF30" s="455"/>
      <c r="AG30" s="455"/>
      <c r="AH30" s="455"/>
      <c r="AI30" s="455"/>
      <c r="AJ30" s="455"/>
      <c r="AK30" s="455"/>
      <c r="AL30" s="455"/>
      <c r="AM30" s="455"/>
      <c r="AN30" s="455"/>
      <c r="AO30" s="455"/>
      <c r="AP30" s="455"/>
      <c r="AQ30" s="455"/>
      <c r="AR30" s="455"/>
      <c r="AS30" s="455"/>
      <c r="AT30" s="455"/>
      <c r="AU30" s="455"/>
      <c r="AV30" s="455"/>
      <c r="AW30" s="455"/>
      <c r="AX30" s="455"/>
      <c r="AY30" s="455"/>
      <c r="AZ30" s="455"/>
      <c r="BA30" s="455"/>
      <c r="BB30" s="455"/>
      <c r="BC30" s="455"/>
      <c r="BD30" s="455"/>
      <c r="BE30" s="455"/>
      <c r="BF30" s="455"/>
      <c r="BG30" s="455"/>
      <c r="BH30" s="455"/>
      <c r="BI30" s="455"/>
      <c r="BJ30" s="455"/>
      <c r="BK30" s="456"/>
      <c r="BL30" s="457"/>
      <c r="BM30" s="458"/>
      <c r="BN30" s="458"/>
      <c r="BO30" s="456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460"/>
      <c r="DD30" s="371"/>
    </row>
    <row r="31" spans="1:108" s="177" customFormat="1" hidden="1" x14ac:dyDescent="0.2">
      <c r="A31" s="178" t="s">
        <v>112</v>
      </c>
      <c r="B31" s="454"/>
      <c r="C31" s="455"/>
      <c r="D31" s="455"/>
      <c r="E31" s="455"/>
      <c r="F31" s="455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  <c r="AE31" s="455"/>
      <c r="AF31" s="455"/>
      <c r="AG31" s="455"/>
      <c r="AH31" s="455"/>
      <c r="AI31" s="455"/>
      <c r="AJ31" s="455"/>
      <c r="AK31" s="455"/>
      <c r="AL31" s="455"/>
      <c r="AM31" s="455"/>
      <c r="AN31" s="455"/>
      <c r="AO31" s="455"/>
      <c r="AP31" s="455"/>
      <c r="AQ31" s="455"/>
      <c r="AR31" s="455"/>
      <c r="AS31" s="455"/>
      <c r="AT31" s="455"/>
      <c r="AU31" s="455"/>
      <c r="AV31" s="455"/>
      <c r="AW31" s="455"/>
      <c r="AX31" s="455"/>
      <c r="AY31" s="455"/>
      <c r="AZ31" s="455"/>
      <c r="BA31" s="455"/>
      <c r="BB31" s="455"/>
      <c r="BC31" s="455"/>
      <c r="BD31" s="455"/>
      <c r="BE31" s="455"/>
      <c r="BF31" s="455"/>
      <c r="BG31" s="455"/>
      <c r="BH31" s="455"/>
      <c r="BI31" s="455"/>
      <c r="BJ31" s="455"/>
      <c r="BK31" s="456"/>
      <c r="BL31" s="457"/>
      <c r="BM31" s="458"/>
      <c r="BN31" s="458"/>
      <c r="BO31" s="456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460"/>
      <c r="DD31" s="371"/>
    </row>
    <row r="32" spans="1:108" s="177" customFormat="1" hidden="1" x14ac:dyDescent="0.2">
      <c r="A32" s="178" t="s">
        <v>113</v>
      </c>
      <c r="B32" s="454"/>
      <c r="C32" s="455"/>
      <c r="D32" s="455"/>
      <c r="E32" s="455"/>
      <c r="F32" s="455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455"/>
      <c r="AZ32" s="455"/>
      <c r="BA32" s="455"/>
      <c r="BB32" s="455"/>
      <c r="BC32" s="455"/>
      <c r="BD32" s="455"/>
      <c r="BE32" s="455"/>
      <c r="BF32" s="455"/>
      <c r="BG32" s="455"/>
      <c r="BH32" s="455"/>
      <c r="BI32" s="455"/>
      <c r="BJ32" s="455"/>
      <c r="BK32" s="456"/>
      <c r="BL32" s="457"/>
      <c r="BM32" s="458"/>
      <c r="BN32" s="458"/>
      <c r="BO32" s="456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460"/>
      <c r="DD32" s="371"/>
    </row>
    <row r="33" spans="1:108" s="177" customFormat="1" hidden="1" x14ac:dyDescent="0.2">
      <c r="A33" s="178" t="s">
        <v>114</v>
      </c>
      <c r="B33" s="454"/>
      <c r="C33" s="455"/>
      <c r="D33" s="455"/>
      <c r="E33" s="455"/>
      <c r="F33" s="455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D33" s="455"/>
      <c r="AE33" s="455"/>
      <c r="AF33" s="455"/>
      <c r="AG33" s="455"/>
      <c r="AH33" s="455"/>
      <c r="AI33" s="455"/>
      <c r="AJ33" s="455"/>
      <c r="AK33" s="455"/>
      <c r="AL33" s="455"/>
      <c r="AM33" s="455"/>
      <c r="AN33" s="455"/>
      <c r="AO33" s="455"/>
      <c r="AP33" s="455"/>
      <c r="AQ33" s="455"/>
      <c r="AR33" s="455"/>
      <c r="AS33" s="455"/>
      <c r="AT33" s="455"/>
      <c r="AU33" s="455"/>
      <c r="AV33" s="455"/>
      <c r="AW33" s="455"/>
      <c r="AX33" s="455"/>
      <c r="AY33" s="455"/>
      <c r="AZ33" s="455"/>
      <c r="BA33" s="455"/>
      <c r="BB33" s="455"/>
      <c r="BC33" s="455"/>
      <c r="BD33" s="455"/>
      <c r="BE33" s="455"/>
      <c r="BF33" s="455"/>
      <c r="BG33" s="455"/>
      <c r="BH33" s="455"/>
      <c r="BI33" s="455"/>
      <c r="BJ33" s="455"/>
      <c r="BK33" s="456"/>
      <c r="BL33" s="457"/>
      <c r="BM33" s="458"/>
      <c r="BN33" s="458"/>
      <c r="BO33" s="456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460"/>
      <c r="DD33" s="371"/>
    </row>
    <row r="34" spans="1:108" s="177" customFormat="1" hidden="1" x14ac:dyDescent="0.2">
      <c r="A34" s="178" t="s">
        <v>115</v>
      </c>
      <c r="B34" s="454"/>
      <c r="C34" s="455"/>
      <c r="D34" s="455"/>
      <c r="E34" s="455"/>
      <c r="F34" s="455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D34" s="455"/>
      <c r="AE34" s="455"/>
      <c r="AF34" s="455"/>
      <c r="AG34" s="455"/>
      <c r="AH34" s="455"/>
      <c r="AI34" s="455"/>
      <c r="AJ34" s="455"/>
      <c r="AK34" s="455"/>
      <c r="AL34" s="455"/>
      <c r="AM34" s="455"/>
      <c r="AN34" s="455"/>
      <c r="AO34" s="455"/>
      <c r="AP34" s="455"/>
      <c r="AQ34" s="455"/>
      <c r="AR34" s="455"/>
      <c r="AS34" s="455"/>
      <c r="AT34" s="455"/>
      <c r="AU34" s="455"/>
      <c r="AV34" s="455"/>
      <c r="AW34" s="455"/>
      <c r="AX34" s="455"/>
      <c r="AY34" s="455"/>
      <c r="AZ34" s="455"/>
      <c r="BA34" s="455"/>
      <c r="BB34" s="455"/>
      <c r="BC34" s="455"/>
      <c r="BD34" s="455"/>
      <c r="BE34" s="455"/>
      <c r="BF34" s="455"/>
      <c r="BG34" s="455"/>
      <c r="BH34" s="455"/>
      <c r="BI34" s="455"/>
      <c r="BJ34" s="455"/>
      <c r="BK34" s="456"/>
      <c r="BL34" s="457"/>
      <c r="BM34" s="458"/>
      <c r="BN34" s="458"/>
      <c r="BO34" s="456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460"/>
      <c r="DD34" s="371"/>
    </row>
    <row r="35" spans="1:108" s="177" customFormat="1" hidden="1" x14ac:dyDescent="0.2">
      <c r="A35" s="178" t="s">
        <v>116</v>
      </c>
      <c r="B35" s="454"/>
      <c r="C35" s="455"/>
      <c r="D35" s="455"/>
      <c r="E35" s="455"/>
      <c r="F35" s="455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5"/>
      <c r="AX35" s="455"/>
      <c r="AY35" s="455"/>
      <c r="AZ35" s="455"/>
      <c r="BA35" s="455"/>
      <c r="BB35" s="455"/>
      <c r="BC35" s="455"/>
      <c r="BD35" s="455"/>
      <c r="BE35" s="455"/>
      <c r="BF35" s="455"/>
      <c r="BG35" s="455"/>
      <c r="BH35" s="455"/>
      <c r="BI35" s="455"/>
      <c r="BJ35" s="455"/>
      <c r="BK35" s="456"/>
      <c r="BL35" s="457"/>
      <c r="BM35" s="458"/>
      <c r="BN35" s="458"/>
      <c r="BO35" s="456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460"/>
      <c r="DD35" s="371"/>
    </row>
    <row r="36" spans="1:108" s="177" customFormat="1" hidden="1" x14ac:dyDescent="0.2">
      <c r="A36" s="178" t="s">
        <v>117</v>
      </c>
      <c r="B36" s="454"/>
      <c r="C36" s="455"/>
      <c r="D36" s="455"/>
      <c r="E36" s="455"/>
      <c r="F36" s="455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5"/>
      <c r="AD36" s="455"/>
      <c r="AE36" s="455"/>
      <c r="AF36" s="455"/>
      <c r="AG36" s="455"/>
      <c r="AH36" s="455"/>
      <c r="AI36" s="455"/>
      <c r="AJ36" s="455"/>
      <c r="AK36" s="455"/>
      <c r="AL36" s="455"/>
      <c r="AM36" s="455"/>
      <c r="AN36" s="455"/>
      <c r="AO36" s="455"/>
      <c r="AP36" s="455"/>
      <c r="AQ36" s="455"/>
      <c r="AR36" s="455"/>
      <c r="AS36" s="455"/>
      <c r="AT36" s="455"/>
      <c r="AU36" s="455"/>
      <c r="AV36" s="455"/>
      <c r="AW36" s="455"/>
      <c r="AX36" s="455"/>
      <c r="AY36" s="455"/>
      <c r="AZ36" s="455"/>
      <c r="BA36" s="455"/>
      <c r="BB36" s="455"/>
      <c r="BC36" s="455"/>
      <c r="BD36" s="455"/>
      <c r="BE36" s="455"/>
      <c r="BF36" s="455"/>
      <c r="BG36" s="455"/>
      <c r="BH36" s="455"/>
      <c r="BI36" s="455"/>
      <c r="BJ36" s="455"/>
      <c r="BK36" s="456"/>
      <c r="BL36" s="457"/>
      <c r="BM36" s="458"/>
      <c r="BN36" s="458"/>
      <c r="BO36" s="456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460"/>
      <c r="DD36" s="371"/>
    </row>
    <row r="37" spans="1:108" s="177" customFormat="1" hidden="1" x14ac:dyDescent="0.2">
      <c r="A37" s="333" t="s">
        <v>118</v>
      </c>
      <c r="B37" s="334"/>
      <c r="C37" s="335"/>
      <c r="D37" s="335"/>
      <c r="E37" s="335"/>
      <c r="F37" s="335"/>
      <c r="G37" s="336"/>
      <c r="H37" s="336"/>
      <c r="I37" s="336"/>
      <c r="J37" s="336"/>
      <c r="K37" s="336"/>
      <c r="L37" s="336"/>
      <c r="M37" s="336"/>
      <c r="N37" s="336"/>
      <c r="O37" s="336"/>
      <c r="P37" s="336"/>
      <c r="Q37" s="336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  <c r="AR37" s="335"/>
      <c r="AS37" s="335"/>
      <c r="AT37" s="335"/>
      <c r="AU37" s="335"/>
      <c r="AV37" s="335"/>
      <c r="AW37" s="335"/>
      <c r="AX37" s="335"/>
      <c r="AY37" s="335"/>
      <c r="AZ37" s="335"/>
      <c r="BA37" s="335"/>
      <c r="BB37" s="335"/>
      <c r="BC37" s="335"/>
      <c r="BD37" s="335"/>
      <c r="BE37" s="335"/>
      <c r="BF37" s="335"/>
      <c r="BG37" s="335"/>
      <c r="BH37" s="335"/>
      <c r="BI37" s="335"/>
      <c r="BJ37" s="335"/>
      <c r="BK37" s="337"/>
      <c r="BL37" s="338"/>
      <c r="BM37" s="339"/>
      <c r="BN37" s="339"/>
      <c r="BO37" s="337"/>
      <c r="BP37" s="336"/>
      <c r="BQ37" s="336"/>
      <c r="BR37" s="336"/>
      <c r="BS37" s="336"/>
      <c r="BT37" s="336"/>
      <c r="BU37" s="336"/>
      <c r="BV37" s="336"/>
      <c r="BW37" s="336"/>
      <c r="BX37" s="336"/>
      <c r="BY37" s="336"/>
      <c r="BZ37" s="336"/>
      <c r="CA37" s="336"/>
      <c r="CB37" s="336"/>
      <c r="CC37" s="336"/>
      <c r="CD37" s="336"/>
      <c r="CE37" s="336"/>
      <c r="CF37" s="336"/>
      <c r="CG37" s="336"/>
      <c r="CH37" s="336"/>
      <c r="CI37" s="336"/>
      <c r="CJ37" s="336"/>
      <c r="CK37" s="336"/>
      <c r="CL37" s="336"/>
      <c r="CM37" s="336"/>
      <c r="CN37" s="336"/>
      <c r="CO37" s="336"/>
      <c r="CP37" s="336"/>
      <c r="CQ37" s="336"/>
      <c r="CR37" s="336"/>
      <c r="CS37" s="336"/>
      <c r="CT37" s="336"/>
      <c r="CU37" s="336"/>
      <c r="CV37" s="336"/>
      <c r="CW37" s="336"/>
      <c r="CX37" s="336"/>
      <c r="CY37" s="336"/>
      <c r="CZ37" s="336"/>
      <c r="DA37" s="336"/>
      <c r="DB37" s="336"/>
      <c r="DC37" s="370"/>
      <c r="DD37" s="371"/>
    </row>
    <row r="38" spans="1:108" ht="14.25" customHeight="1" x14ac:dyDescent="0.2">
      <c r="A38" s="253" t="s">
        <v>105</v>
      </c>
      <c r="B38" s="188"/>
      <c r="BI38" s="179"/>
      <c r="BJ38" s="179"/>
      <c r="CL38" s="157"/>
    </row>
    <row r="39" spans="1:108" ht="12.75" customHeight="1" x14ac:dyDescent="0.2">
      <c r="A39" s="292" t="s">
        <v>35</v>
      </c>
      <c r="B39" s="188"/>
      <c r="BI39" s="179"/>
      <c r="BJ39" s="179"/>
      <c r="CD39"/>
      <c r="CF39"/>
      <c r="CG39"/>
      <c r="CH39"/>
      <c r="CI39"/>
      <c r="CJ39" s="301"/>
      <c r="CK39"/>
      <c r="CL39"/>
      <c r="DD39" s="301"/>
    </row>
    <row r="41" spans="1:108" x14ac:dyDescent="0.2">
      <c r="A41" s="235"/>
    </row>
    <row r="42" spans="1:108" x14ac:dyDescent="0.2">
      <c r="A42" s="235"/>
    </row>
    <row r="44" spans="1:108" x14ac:dyDescent="0.2">
      <c r="A44" s="189" t="s">
        <v>106</v>
      </c>
      <c r="B44" s="189"/>
    </row>
    <row r="45" spans="1:108" x14ac:dyDescent="0.2">
      <c r="A45" s="190">
        <f ca="1">NOW()</f>
        <v>45834.501835300929</v>
      </c>
      <c r="B45" s="190"/>
    </row>
    <row r="48" spans="1:108" x14ac:dyDescent="0.2">
      <c r="A48"/>
    </row>
  </sheetData>
  <mergeCells count="4">
    <mergeCell ref="CU3:CX3"/>
    <mergeCell ref="CZ3:DC3"/>
    <mergeCell ref="A1:DC1"/>
    <mergeCell ref="CR3:CS3"/>
  </mergeCells>
  <phoneticPr fontId="2" type="noConversion"/>
  <printOptions gridLinesSet="0"/>
  <pageMargins left="2.4409448818897599" right="0.59050000000000002" top="0.59055118110236204" bottom="1.9684999999999999" header="0.5" footer="0.5"/>
  <pageSetup paperSize="9" orientation="landscape" horizontalDpi="4294967292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C28"/>
  <sheetViews>
    <sheetView showGridLines="0" showOutlineSymbols="0" workbookViewId="0">
      <pane xSplit="4" ySplit="4" topLeftCell="AV25" activePane="bottomRight" state="frozen"/>
      <selection pane="topRight" activeCell="E1" sqref="E1"/>
      <selection pane="bottomLeft" activeCell="A5" sqref="A5"/>
      <selection pane="bottomRight" activeCell="I6" sqref="I6"/>
    </sheetView>
  </sheetViews>
  <sheetFormatPr defaultColWidth="9.6640625" defaultRowHeight="13.2" outlineLevelCol="1" x14ac:dyDescent="0.3"/>
  <cols>
    <col min="1" max="1" width="25" style="203" customWidth="1"/>
    <col min="2" max="2" width="7" style="203" hidden="1" customWidth="1" outlineLevel="1"/>
    <col min="3" max="3" width="7.6640625" style="203" hidden="1" customWidth="1" outlineLevel="1"/>
    <col min="4" max="4" width="8" style="203" hidden="1" customWidth="1" outlineLevel="1"/>
    <col min="5" max="5" width="8" style="203" customWidth="1" collapsed="1"/>
    <col min="6" max="9" width="8" style="203" customWidth="1"/>
    <col min="10" max="10" width="5.33203125" style="203" hidden="1" customWidth="1" outlineLevel="1"/>
    <col min="11" max="11" width="1.83203125" style="203" hidden="1" customWidth="1" outlineLevel="1"/>
    <col min="12" max="14" width="5.33203125" style="203" hidden="1" customWidth="1" outlineLevel="1"/>
    <col min="15" max="15" width="6.33203125" style="203" hidden="1" customWidth="1" outlineLevel="1"/>
    <col min="16" max="16" width="1.83203125" style="203" hidden="1" customWidth="1" outlineLevel="1"/>
    <col min="17" max="17" width="6.33203125" style="203" hidden="1" customWidth="1" outlineLevel="1"/>
    <col min="18" max="18" width="7.1640625" style="203" hidden="1" customWidth="1" outlineLevel="1"/>
    <col min="19" max="20" width="6.33203125" style="203" hidden="1" customWidth="1" outlineLevel="1"/>
    <col min="21" max="21" width="1.83203125" style="203" hidden="1" customWidth="1" outlineLevel="1"/>
    <col min="22" max="23" width="6.33203125" style="203" hidden="1" customWidth="1" outlineLevel="1"/>
    <col min="24" max="24" width="6.83203125" style="203" hidden="1" customWidth="1" outlineLevel="1" collapsed="1"/>
    <col min="25" max="25" width="6.83203125" style="203" hidden="1" customWidth="1" outlineLevel="1"/>
    <col min="26" max="26" width="1.83203125" style="203" hidden="1" customWidth="1" outlineLevel="1"/>
    <col min="27" max="30" width="6.83203125" style="203" hidden="1" customWidth="1" outlineLevel="1"/>
    <col min="31" max="31" width="2" style="203" hidden="1" customWidth="1" outlineLevel="1"/>
    <col min="32" max="35" width="7.6640625" style="203" hidden="1" customWidth="1" outlineLevel="1"/>
    <col min="36" max="36" width="2" style="203" hidden="1" customWidth="1" outlineLevel="1"/>
    <col min="37" max="37" width="7.6640625" style="285" hidden="1" customWidth="1" outlineLevel="1"/>
    <col min="38" max="38" width="7.6640625" style="203" hidden="1" customWidth="1" outlineLevel="1"/>
    <col min="39" max="39" width="2" style="203" customWidth="1" collapsed="1"/>
    <col min="40" max="41" width="7.33203125" style="203" customWidth="1"/>
    <col min="42" max="42" width="2" style="203" customWidth="1"/>
    <col min="43" max="46" width="7.33203125" style="203" customWidth="1"/>
    <col min="47" max="47" width="2" style="203" customWidth="1"/>
    <col min="48" max="48" width="7.33203125" style="203" customWidth="1"/>
    <col min="49" max="49" width="7.33203125" style="204" customWidth="1"/>
    <col min="50" max="50" width="7.33203125" customWidth="1"/>
    <col min="51" max="51" width="7.33203125" style="203" customWidth="1"/>
    <col min="52" max="52" width="2" style="203" customWidth="1"/>
    <col min="53" max="54" width="7.33203125" style="203" customWidth="1"/>
    <col min="55" max="55" width="4.6640625" style="203" bestFit="1" customWidth="1"/>
    <col min="56" max="16384" width="9.6640625" style="203"/>
  </cols>
  <sheetData>
    <row r="1" spans="1:54" s="191" customFormat="1" ht="21.9" customHeight="1" x14ac:dyDescent="0.2">
      <c r="A1" s="849" t="s">
        <v>107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49"/>
      <c r="AC1" s="849"/>
      <c r="AD1" s="849"/>
      <c r="AE1" s="849"/>
      <c r="AF1" s="849"/>
      <c r="AG1" s="849"/>
      <c r="AH1" s="849"/>
      <c r="AI1" s="849"/>
      <c r="AJ1" s="849"/>
      <c r="AK1" s="849"/>
      <c r="AL1" s="849"/>
      <c r="AM1" s="849"/>
      <c r="AN1" s="849"/>
      <c r="AO1" s="849"/>
      <c r="AP1" s="849"/>
      <c r="AQ1" s="849"/>
      <c r="AR1" s="849"/>
      <c r="AS1" s="849"/>
      <c r="AT1" s="849"/>
      <c r="AU1" s="849"/>
      <c r="AV1" s="849"/>
      <c r="AW1" s="849"/>
      <c r="AX1" s="849"/>
      <c r="AY1" s="849"/>
      <c r="AZ1" s="849"/>
      <c r="BA1" s="849"/>
      <c r="BB1" s="849"/>
    </row>
    <row r="2" spans="1:54" s="191" customFormat="1" ht="9.9" customHeight="1" x14ac:dyDescent="0.2">
      <c r="A2"/>
      <c r="B2" s="192"/>
      <c r="C2"/>
      <c r="D2"/>
      <c r="E2"/>
      <c r="F2" s="192"/>
      <c r="G2"/>
      <c r="H2"/>
      <c r="I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30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/>
      <c r="AL2"/>
      <c r="AM2" s="302"/>
      <c r="AN2" s="302"/>
      <c r="AO2" s="234"/>
      <c r="AP2" s="303"/>
      <c r="AQ2"/>
      <c r="AR2"/>
      <c r="AS2"/>
      <c r="AT2"/>
      <c r="AU2" s="215"/>
      <c r="AV2"/>
      <c r="AW2" s="365"/>
      <c r="AX2"/>
      <c r="AY2"/>
      <c r="AZ2"/>
      <c r="BA2"/>
      <c r="BB2"/>
    </row>
    <row r="3" spans="1:54" s="191" customFormat="1" ht="15" customHeight="1" x14ac:dyDescent="0.2">
      <c r="A3" s="193"/>
      <c r="B3" s="194"/>
      <c r="C3" s="194"/>
      <c r="D3" s="194"/>
      <c r="E3" s="194"/>
      <c r="F3" s="194"/>
      <c r="G3" s="194"/>
      <c r="H3" s="194"/>
      <c r="I3" s="194"/>
      <c r="J3" s="195">
        <v>1988</v>
      </c>
      <c r="K3" s="195"/>
      <c r="L3" s="196">
        <v>1989</v>
      </c>
      <c r="M3" s="196"/>
      <c r="N3" s="196"/>
      <c r="O3" s="196"/>
      <c r="P3" s="196"/>
      <c r="Q3" s="196">
        <v>1990</v>
      </c>
      <c r="R3" s="196"/>
      <c r="S3" s="196"/>
      <c r="T3" s="196"/>
      <c r="U3" s="196"/>
      <c r="V3" s="196">
        <v>1991</v>
      </c>
      <c r="W3" s="196"/>
      <c r="X3" s="196"/>
      <c r="Y3" s="196"/>
      <c r="Z3" s="196"/>
      <c r="AA3" s="196"/>
      <c r="AB3" s="196"/>
      <c r="AC3" s="196">
        <v>1992</v>
      </c>
      <c r="AD3" s="196"/>
      <c r="AE3" s="196"/>
      <c r="AF3" s="341"/>
      <c r="AG3" s="196"/>
      <c r="AH3" s="196">
        <v>1993</v>
      </c>
      <c r="AI3" s="196"/>
      <c r="AJ3" s="196"/>
      <c r="AK3" s="377"/>
      <c r="AL3" s="196"/>
      <c r="AM3" s="196">
        <v>1994</v>
      </c>
      <c r="AN3" s="196"/>
      <c r="AO3" s="196"/>
      <c r="AP3" s="196"/>
      <c r="AQ3" s="295">
        <v>1995</v>
      </c>
      <c r="AR3" s="314"/>
      <c r="AS3" s="304"/>
      <c r="AT3" s="314"/>
      <c r="AU3" s="196"/>
      <c r="AV3" s="342">
        <v>1996</v>
      </c>
      <c r="AW3" s="275"/>
      <c r="AX3" s="367"/>
      <c r="AY3" s="373"/>
      <c r="AZ3" s="196"/>
      <c r="BA3" s="295">
        <v>1997</v>
      </c>
      <c r="BB3" s="440"/>
    </row>
    <row r="4" spans="1:54" ht="15" customHeight="1" x14ac:dyDescent="0.3">
      <c r="A4" s="197" t="s">
        <v>6</v>
      </c>
      <c r="B4" s="198" t="s">
        <v>20</v>
      </c>
      <c r="C4" s="238" t="s">
        <v>21</v>
      </c>
      <c r="D4" s="199" t="s">
        <v>22</v>
      </c>
      <c r="E4" s="199" t="s">
        <v>23</v>
      </c>
      <c r="F4" s="199" t="s">
        <v>24</v>
      </c>
      <c r="G4" s="199" t="s">
        <v>25</v>
      </c>
      <c r="H4" s="199" t="s">
        <v>26</v>
      </c>
      <c r="I4" s="199" t="s">
        <v>111</v>
      </c>
      <c r="J4" s="200" t="s">
        <v>30</v>
      </c>
      <c r="K4" s="201"/>
      <c r="L4" s="200" t="s">
        <v>27</v>
      </c>
      <c r="M4" s="200" t="s">
        <v>28</v>
      </c>
      <c r="N4" s="200" t="s">
        <v>29</v>
      </c>
      <c r="O4" s="200" t="s">
        <v>30</v>
      </c>
      <c r="P4" s="201"/>
      <c r="Q4" s="200" t="s">
        <v>27</v>
      </c>
      <c r="R4" s="200" t="s">
        <v>28</v>
      </c>
      <c r="S4" s="200" t="s">
        <v>29</v>
      </c>
      <c r="T4" s="200" t="s">
        <v>30</v>
      </c>
      <c r="U4" s="201"/>
      <c r="V4" s="200" t="s">
        <v>27</v>
      </c>
      <c r="W4" s="200" t="s">
        <v>28</v>
      </c>
      <c r="X4" s="200" t="s">
        <v>29</v>
      </c>
      <c r="Y4" s="200" t="s">
        <v>30</v>
      </c>
      <c r="Z4" s="201"/>
      <c r="AA4" s="200" t="s">
        <v>27</v>
      </c>
      <c r="AB4" s="200" t="s">
        <v>28</v>
      </c>
      <c r="AC4" s="200" t="s">
        <v>29</v>
      </c>
      <c r="AD4" s="200" t="s">
        <v>30</v>
      </c>
      <c r="AE4" s="201"/>
      <c r="AF4" s="200" t="s">
        <v>27</v>
      </c>
      <c r="AG4" s="200" t="s">
        <v>28</v>
      </c>
      <c r="AH4" s="202" t="s">
        <v>29</v>
      </c>
      <c r="AI4" s="202" t="s">
        <v>30</v>
      </c>
      <c r="AJ4" s="201"/>
      <c r="AK4" s="202" t="s">
        <v>27</v>
      </c>
      <c r="AL4" s="202" t="s">
        <v>28</v>
      </c>
      <c r="AM4" s="296"/>
      <c r="AN4" s="202" t="s">
        <v>29</v>
      </c>
      <c r="AO4" s="202" t="s">
        <v>30</v>
      </c>
      <c r="AP4" s="296"/>
      <c r="AQ4" s="296" t="s">
        <v>27</v>
      </c>
      <c r="AR4" s="296" t="s">
        <v>28</v>
      </c>
      <c r="AS4" s="296" t="s">
        <v>29</v>
      </c>
      <c r="AT4" s="296" t="s">
        <v>30</v>
      </c>
      <c r="AU4" s="296"/>
      <c r="AV4" s="296" t="s">
        <v>27</v>
      </c>
      <c r="AW4" s="202" t="s">
        <v>28</v>
      </c>
      <c r="AX4" s="296" t="s">
        <v>29</v>
      </c>
      <c r="AY4" s="202" t="s">
        <v>30</v>
      </c>
      <c r="AZ4" s="296"/>
      <c r="BA4" s="202" t="s">
        <v>27</v>
      </c>
      <c r="BB4" s="441" t="s">
        <v>28</v>
      </c>
    </row>
    <row r="5" spans="1:54" s="191" customFormat="1" ht="15" customHeight="1" x14ac:dyDescent="0.2">
      <c r="A5" s="226"/>
      <c r="B5" s="196"/>
      <c r="C5"/>
      <c r="D5" s="196" t="s">
        <v>93</v>
      </c>
      <c r="E5" s="227"/>
      <c r="F5" s="227"/>
      <c r="G5" s="227"/>
      <c r="H5" s="227"/>
      <c r="I5" s="227"/>
      <c r="J5" s="227"/>
      <c r="K5" s="227"/>
      <c r="L5" s="228"/>
      <c r="M5" s="227"/>
      <c r="N5" s="229"/>
      <c r="O5" s="230"/>
      <c r="P5" s="230"/>
      <c r="Q5" s="230"/>
      <c r="R5" s="230"/>
      <c r="S5" s="230"/>
      <c r="T5" s="230"/>
      <c r="U5" s="230"/>
      <c r="V5" s="230"/>
      <c r="W5" s="230"/>
      <c r="X5" s="275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1"/>
      <c r="AJ5" s="230"/>
      <c r="AK5" s="231"/>
      <c r="AL5" s="231"/>
      <c r="AM5" s="231"/>
      <c r="AN5" s="231"/>
      <c r="AO5" s="231"/>
      <c r="AP5" s="231"/>
      <c r="AQ5" s="231"/>
      <c r="AR5" s="317"/>
      <c r="AS5" s="317"/>
      <c r="AT5" s="317"/>
      <c r="AU5" s="317"/>
      <c r="AV5" s="317"/>
      <c r="AW5" s="317"/>
      <c r="AX5" s="378"/>
      <c r="AY5" s="381"/>
      <c r="AZ5" s="381"/>
      <c r="BA5" s="442"/>
      <c r="BB5" s="382"/>
    </row>
    <row r="6" spans="1:54" ht="15" customHeight="1" x14ac:dyDescent="0.3">
      <c r="A6" s="205" t="s">
        <v>94</v>
      </c>
      <c r="B6" s="206">
        <f t="shared" ref="B6:B15" si="0">AVERAGE(N6:R6)</f>
        <v>90.482116369335571</v>
      </c>
      <c r="C6" s="206">
        <f t="shared" ref="C6:C15" si="1">AVERAGE(S6:W6)</f>
        <v>98.364059805097227</v>
      </c>
      <c r="D6" s="206">
        <f t="shared" ref="D6:D15" si="2">AVERAGE(X6:AB6)</f>
        <v>101.68498378429553</v>
      </c>
      <c r="E6" s="206">
        <f t="shared" ref="E6:E15" si="3">AVERAGE(AC6:AG6)</f>
        <v>105.11305408717439</v>
      </c>
      <c r="F6" s="206">
        <f t="shared" ref="F6:F15" si="4">AVERAGE(AH6:AL6)</f>
        <v>108.21139054758478</v>
      </c>
      <c r="G6" s="206">
        <f t="shared" ref="G6:G15" si="5">AVERAGE(AN6:AR6)</f>
        <v>108.09261241973604</v>
      </c>
      <c r="H6" s="206" t="e">
        <f t="shared" ref="H6:H15" si="6">AVERAGE(AS6:AW6)</f>
        <v>#N/A</v>
      </c>
      <c r="I6" s="206" t="e">
        <f>AVERAGE(AX6:BB6)</f>
        <v>#N/A</v>
      </c>
      <c r="J6" s="206">
        <v>86.001504007749986</v>
      </c>
      <c r="K6" s="206"/>
      <c r="L6" s="206">
        <v>86.644152797132691</v>
      </c>
      <c r="M6" s="206">
        <v>87.614603353910738</v>
      </c>
      <c r="N6" s="206">
        <v>87.566824725017582</v>
      </c>
      <c r="O6" s="206">
        <v>89.834315008876757</v>
      </c>
      <c r="P6" s="206"/>
      <c r="Q6" s="206">
        <v>90.494359421384601</v>
      </c>
      <c r="R6" s="315">
        <f>[9]QX!E$9</f>
        <v>94.032966322063317</v>
      </c>
      <c r="S6" s="315">
        <f>[9]QX!F$9</f>
        <v>96.385152945161124</v>
      </c>
      <c r="T6" s="315">
        <f>[9]QX!G$9</f>
        <v>98.131731049343003</v>
      </c>
      <c r="U6" s="206"/>
      <c r="V6" s="315">
        <f>[9]QX!H$9</f>
        <v>99.667224935517879</v>
      </c>
      <c r="W6" s="315">
        <f>[9]QX!I$9</f>
        <v>99.272130290366874</v>
      </c>
      <c r="X6" s="315">
        <f>[9]QX!J$9</f>
        <v>100.03304906565053</v>
      </c>
      <c r="Y6" s="315">
        <f>[9]QX!K$9</f>
        <v>101.20432327513572</v>
      </c>
      <c r="Z6" s="206"/>
      <c r="AA6" s="315">
        <f>[9]QX!L$9</f>
        <v>102.69491917314929</v>
      </c>
      <c r="AB6" s="315">
        <f>[9]QX!M$9</f>
        <v>102.80764362324658</v>
      </c>
      <c r="AC6" s="315">
        <f>[9]QX!N$9</f>
        <v>103.52165798270347</v>
      </c>
      <c r="AD6" s="315">
        <f>[9]QX!O$9</f>
        <v>105.14161596028828</v>
      </c>
      <c r="AE6" s="206"/>
      <c r="AF6" s="315">
        <f>[9]QX!P$9</f>
        <v>106.07101349107688</v>
      </c>
      <c r="AG6" s="315">
        <f>[9]QX!Q$9</f>
        <v>105.71792891462893</v>
      </c>
      <c r="AH6" s="315">
        <f>[9]QX!R$9</f>
        <v>106.76065327123735</v>
      </c>
      <c r="AI6" s="315">
        <f>[9]QX!S$9</f>
        <v>108.20416820122692</v>
      </c>
      <c r="AJ6" s="206"/>
      <c r="AK6" s="315">
        <f>[9]QX!T$9</f>
        <v>108.7841020431372</v>
      </c>
      <c r="AL6" s="315">
        <f>[9]QX!U$9</f>
        <v>109.09663867473769</v>
      </c>
      <c r="AM6" s="315"/>
      <c r="AN6" s="315">
        <f>[9]QX!V$9</f>
        <v>108.92381871109869</v>
      </c>
      <c r="AO6" s="315">
        <f>[9]QX!W$9</f>
        <v>108.60293788775896</v>
      </c>
      <c r="AP6" s="236"/>
      <c r="AQ6" s="315">
        <f>[9]QX!X$9</f>
        <v>107.1344507385798</v>
      </c>
      <c r="AR6" s="315">
        <f>[9]QX!Y$9</f>
        <v>107.70924234150674</v>
      </c>
      <c r="AS6" s="315">
        <f>[9]QX!Z$9</f>
        <v>108.67690164288224</v>
      </c>
      <c r="AT6" s="315" t="e">
        <f>[9]QX!AA$9</f>
        <v>#N/A</v>
      </c>
      <c r="AU6" s="315"/>
      <c r="AV6" s="315" t="e">
        <f>[9]QX!AB$9</f>
        <v>#N/A</v>
      </c>
      <c r="AW6" s="315" t="e">
        <f>[9]QX!AC$9</f>
        <v>#N/A</v>
      </c>
      <c r="AX6" s="315" t="e">
        <f>[9]QX!AD$9</f>
        <v>#N/A</v>
      </c>
      <c r="AY6" s="315" t="e">
        <f>[9]QX!AE$9</f>
        <v>#N/A</v>
      </c>
      <c r="AZ6" s="315"/>
      <c r="BA6" s="438" t="e">
        <f>[9]QX!AF$9</f>
        <v>#N/A</v>
      </c>
      <c r="BB6" s="384">
        <f>[9]QX!AG$9</f>
        <v>0</v>
      </c>
    </row>
    <row r="7" spans="1:54" x14ac:dyDescent="0.3">
      <c r="A7" s="205" t="s">
        <v>108</v>
      </c>
      <c r="B7" s="206">
        <f t="shared" si="0"/>
        <v>87.084780359575902</v>
      </c>
      <c r="C7" s="206">
        <f t="shared" si="1"/>
        <v>96.92241675500091</v>
      </c>
      <c r="D7" s="206">
        <f t="shared" si="2"/>
        <v>101.00946568661854</v>
      </c>
      <c r="E7" s="206">
        <f t="shared" si="3"/>
        <v>105.4086483346382</v>
      </c>
      <c r="F7" s="206">
        <f t="shared" si="4"/>
        <v>111.00132218940209</v>
      </c>
      <c r="G7" s="206">
        <f t="shared" si="5"/>
        <v>113.03220077769515</v>
      </c>
      <c r="H7" s="206" t="e">
        <f t="shared" si="6"/>
        <v>#N/A</v>
      </c>
      <c r="I7" s="206" t="e">
        <f t="shared" ref="I7:I15" si="7">AVERAGE(AX7:BB7)</f>
        <v>#N/A</v>
      </c>
      <c r="J7" s="206">
        <v>79.639731826395874</v>
      </c>
      <c r="K7" s="206"/>
      <c r="L7" s="206">
        <v>80.218797965174815</v>
      </c>
      <c r="M7" s="206">
        <v>82.704412639059186</v>
      </c>
      <c r="N7" s="206">
        <v>85.087642142869711</v>
      </c>
      <c r="O7" s="206">
        <v>86.633936555821904</v>
      </c>
      <c r="P7" s="206"/>
      <c r="Q7" s="206">
        <v>86.666786303431167</v>
      </c>
      <c r="R7" s="315">
        <f>[9]QX!E$17</f>
        <v>89.950756436180825</v>
      </c>
      <c r="S7" s="315">
        <f>[9]QX!F$17</f>
        <v>92.316667256707674</v>
      </c>
      <c r="T7" s="315">
        <f>[9]QX!G$17</f>
        <v>96.284291826839919</v>
      </c>
      <c r="U7" s="206"/>
      <c r="V7" s="315">
        <f>[9]QX!H$17</f>
        <v>99.763240112174216</v>
      </c>
      <c r="W7" s="315">
        <f>[9]QX!I$17</f>
        <v>99.32546782428183</v>
      </c>
      <c r="X7" s="315">
        <f>[9]QX!J$17</f>
        <v>99.942655311557587</v>
      </c>
      <c r="Y7" s="315">
        <f>[9]QX!K$17</f>
        <v>100.24912001307531</v>
      </c>
      <c r="Z7" s="206"/>
      <c r="AA7" s="315">
        <f>[9]QX!L$17</f>
        <v>101.69557107206055</v>
      </c>
      <c r="AB7" s="315">
        <f>[9]QX!M$17</f>
        <v>102.15051634978074</v>
      </c>
      <c r="AC7" s="315">
        <f>[9]QX!N$17</f>
        <v>102.56795830605597</v>
      </c>
      <c r="AD7" s="315">
        <f>[9]QX!O$17</f>
        <v>105.76309931149551</v>
      </c>
      <c r="AE7" s="206"/>
      <c r="AF7" s="315">
        <f>[9]QX!P$17</f>
        <v>106.78473142034488</v>
      </c>
      <c r="AG7" s="315">
        <f>[9]QX!Q$17</f>
        <v>106.51880430065644</v>
      </c>
      <c r="AH7" s="315">
        <f>[9]QX!R$17</f>
        <v>108.48800469345547</v>
      </c>
      <c r="AI7" s="315">
        <f>[9]QX!S$17</f>
        <v>109.69821525607809</v>
      </c>
      <c r="AJ7" s="206"/>
      <c r="AK7" s="315">
        <f>[9]QX!T$17</f>
        <v>112.36546033568523</v>
      </c>
      <c r="AL7" s="315">
        <f>[9]QX!U$17</f>
        <v>113.45360847238959</v>
      </c>
      <c r="AM7" s="315"/>
      <c r="AN7" s="315">
        <f>[9]QX!V$17</f>
        <v>113.63028907199993</v>
      </c>
      <c r="AO7" s="315">
        <f>[9]QX!W$17</f>
        <v>112.79459501139159</v>
      </c>
      <c r="AP7" s="236"/>
      <c r="AQ7" s="315">
        <f>[9]QX!X$17</f>
        <v>112.76781654308085</v>
      </c>
      <c r="AR7" s="315">
        <f>[9]QX!Y$17</f>
        <v>112.93610248430822</v>
      </c>
      <c r="AS7" s="315">
        <f>[9]QX!Z$17</f>
        <v>112.91325568244879</v>
      </c>
      <c r="AT7" s="315" t="e">
        <f>[9]QX!AA$17</f>
        <v>#N/A</v>
      </c>
      <c r="AU7" s="315"/>
      <c r="AV7" s="315" t="e">
        <f>[9]QX!AB$17</f>
        <v>#N/A</v>
      </c>
      <c r="AW7" s="315" t="e">
        <f>[9]QX!AC$17</f>
        <v>#N/A</v>
      </c>
      <c r="AX7" s="315" t="e">
        <f>[9]QX!AD$17</f>
        <v>#N/A</v>
      </c>
      <c r="AY7" s="315" t="e">
        <f>[9]QX!AE$17</f>
        <v>#N/A</v>
      </c>
      <c r="AZ7" s="315"/>
      <c r="BA7" s="438" t="e">
        <f>[9]QX!AF$17</f>
        <v>#N/A</v>
      </c>
      <c r="BB7" s="384">
        <f>[9]QX!AG$17</f>
        <v>0</v>
      </c>
    </row>
    <row r="8" spans="1:54" x14ac:dyDescent="0.3">
      <c r="A8" s="205" t="s">
        <v>96</v>
      </c>
      <c r="B8" s="206">
        <f t="shared" si="0"/>
        <v>92.236643696415641</v>
      </c>
      <c r="C8" s="206">
        <f t="shared" si="1"/>
        <v>99.1085849624627</v>
      </c>
      <c r="D8" s="206">
        <f t="shared" si="2"/>
        <v>102.03384976602558</v>
      </c>
      <c r="E8" s="206">
        <f t="shared" si="3"/>
        <v>104.96039677467638</v>
      </c>
      <c r="F8" s="206">
        <f t="shared" si="4"/>
        <v>106.77055240493662</v>
      </c>
      <c r="G8" s="206">
        <f t="shared" si="5"/>
        <v>105.54160105857879</v>
      </c>
      <c r="H8" s="206" t="e">
        <f t="shared" si="6"/>
        <v>#N/A</v>
      </c>
      <c r="I8" s="206" t="e">
        <f t="shared" si="7"/>
        <v>#N/A</v>
      </c>
      <c r="J8" s="206">
        <v>89.28699096246342</v>
      </c>
      <c r="K8" s="206"/>
      <c r="L8" s="206">
        <v>89.962476509144224</v>
      </c>
      <c r="M8" s="206">
        <v>90.150432534666791</v>
      </c>
      <c r="N8" s="206">
        <v>88.847178972199359</v>
      </c>
      <c r="O8" s="206">
        <v>91.487125162700821</v>
      </c>
      <c r="P8" s="206"/>
      <c r="Q8" s="206">
        <v>92.47107930206586</v>
      </c>
      <c r="R8" s="315">
        <f>[9]QX!E$25</f>
        <v>96.141191348696495</v>
      </c>
      <c r="S8" s="315">
        <f>[9]QX!F$25</f>
        <v>98.486290218518718</v>
      </c>
      <c r="T8" s="315">
        <f>[9]QX!G$25</f>
        <v>99.085826432222646</v>
      </c>
      <c r="U8" s="206"/>
      <c r="V8" s="315">
        <f>[9]QX!H$25</f>
        <v>99.617638656511687</v>
      </c>
      <c r="W8" s="315">
        <f>[9]QX!I$25</f>
        <v>99.24458454259775</v>
      </c>
      <c r="X8" s="315">
        <f>[9]QX!J$25</f>
        <v>100.07973220541017</v>
      </c>
      <c r="Y8" s="315">
        <f>[9]QX!K$25</f>
        <v>101.69763044916459</v>
      </c>
      <c r="Z8" s="206"/>
      <c r="AA8" s="315">
        <f>[9]QX!L$25</f>
        <v>103.2110246003396</v>
      </c>
      <c r="AB8" s="315">
        <f>[9]QX!M$25</f>
        <v>103.14701180918796</v>
      </c>
      <c r="AC8" s="315">
        <f>[9]QX!N$25</f>
        <v>104.01418864193147</v>
      </c>
      <c r="AD8" s="315">
        <f>[9]QX!O$25</f>
        <v>104.82065579624044</v>
      </c>
      <c r="AE8" s="206"/>
      <c r="AF8" s="315">
        <f>[9]QX!P$25</f>
        <v>105.70241950828283</v>
      </c>
      <c r="AG8" s="315">
        <f>[9]QX!Q$25</f>
        <v>105.30432315225077</v>
      </c>
      <c r="AH8" s="315">
        <f>[9]QX!R$25</f>
        <v>105.86857628354882</v>
      </c>
      <c r="AI8" s="315">
        <f>[9]QX!S$25</f>
        <v>107.43257940984732</v>
      </c>
      <c r="AJ8" s="206"/>
      <c r="AK8" s="315">
        <f>[9]QX!T$25</f>
        <v>106.93453786276507</v>
      </c>
      <c r="AL8" s="315">
        <f>[9]QX!U$25</f>
        <v>106.8465160635853</v>
      </c>
      <c r="AM8" s="315"/>
      <c r="AN8" s="315">
        <f>[9]QX!V$25</f>
        <v>106.49319929677773</v>
      </c>
      <c r="AO8" s="315">
        <f>[9]QX!W$25</f>
        <v>106.43818970034511</v>
      </c>
      <c r="AP8" s="236"/>
      <c r="AQ8" s="315">
        <f>[9]QX!X$25</f>
        <v>104.22514349930726</v>
      </c>
      <c r="AR8" s="315">
        <f>[9]QX!Y$25</f>
        <v>105.00987173788506</v>
      </c>
      <c r="AS8" s="315">
        <f>[9]QX!Z$25</f>
        <v>106.48907008655345</v>
      </c>
      <c r="AT8" s="315" t="e">
        <f>[9]QX!AA$25</f>
        <v>#N/A</v>
      </c>
      <c r="AU8" s="315"/>
      <c r="AV8" s="315" t="e">
        <f>[9]QX!AB$25</f>
        <v>#N/A</v>
      </c>
      <c r="AW8" s="315" t="e">
        <f>[9]QX!AC$25</f>
        <v>#N/A</v>
      </c>
      <c r="AX8" s="315" t="e">
        <f>[9]QX!AD$25</f>
        <v>#N/A</v>
      </c>
      <c r="AY8" s="315" t="e">
        <f>[9]QX!AE$25</f>
        <v>#N/A</v>
      </c>
      <c r="AZ8" s="315"/>
      <c r="BA8" s="438" t="e">
        <f>[9]QX!AF$25</f>
        <v>#N/A</v>
      </c>
      <c r="BB8" s="384">
        <f>[9]QX!AG$25</f>
        <v>0</v>
      </c>
    </row>
    <row r="9" spans="1:54" ht="15" customHeight="1" x14ac:dyDescent="0.3">
      <c r="A9" s="205" t="s">
        <v>97</v>
      </c>
      <c r="B9" s="206">
        <f t="shared" si="0"/>
        <v>91.780763740356193</v>
      </c>
      <c r="C9" s="206">
        <f t="shared" si="1"/>
        <v>98.261195640334094</v>
      </c>
      <c r="D9" s="206">
        <f t="shared" si="2"/>
        <v>101.35715594870764</v>
      </c>
      <c r="E9" s="206">
        <f t="shared" si="3"/>
        <v>104.46846346788782</v>
      </c>
      <c r="F9" s="206">
        <f t="shared" si="4"/>
        <v>107.12505171500837</v>
      </c>
      <c r="G9" s="206">
        <f t="shared" si="5"/>
        <v>106.89266158108985</v>
      </c>
      <c r="H9" s="206" t="e">
        <f t="shared" si="6"/>
        <v>#N/A</v>
      </c>
      <c r="I9" s="206" t="e">
        <f t="shared" si="7"/>
        <v>#N/A</v>
      </c>
      <c r="J9" s="206">
        <v>89.1263533223607</v>
      </c>
      <c r="K9" s="206"/>
      <c r="L9" s="206">
        <v>89.996821852726399</v>
      </c>
      <c r="M9" s="206">
        <v>89.851785473765517</v>
      </c>
      <c r="N9" s="206">
        <v>89.083134229919949</v>
      </c>
      <c r="O9" s="206">
        <v>92.031393770747798</v>
      </c>
      <c r="P9" s="206"/>
      <c r="Q9" s="206">
        <v>91.389610261306018</v>
      </c>
      <c r="R9" s="315">
        <f>[9]QX!E$2</f>
        <v>94.618916699450992</v>
      </c>
      <c r="S9" s="315">
        <f>[9]QX!F$2</f>
        <v>96.777371746633534</v>
      </c>
      <c r="T9" s="315">
        <f>[9]QX!G$2</f>
        <v>96.844063451021839</v>
      </c>
      <c r="U9" s="206"/>
      <c r="V9" s="315">
        <f>[9]QX!H$2</f>
        <v>99.641442929483048</v>
      </c>
      <c r="W9" s="315">
        <f>[9]QX!I$2</f>
        <v>99.781904434197941</v>
      </c>
      <c r="X9" s="315">
        <f>[9]QX!J$2</f>
        <v>99.755331876483709</v>
      </c>
      <c r="Y9" s="315">
        <f>[9]QX!K$2</f>
        <v>101.00811306918204</v>
      </c>
      <c r="Z9" s="206"/>
      <c r="AA9" s="315">
        <f>[9]QX!L$2</f>
        <v>101.61935586620451</v>
      </c>
      <c r="AB9" s="315">
        <f>[9]QX!M$2</f>
        <v>103.04582298296033</v>
      </c>
      <c r="AC9" s="315">
        <f>[9]QX!N$2</f>
        <v>102.78629776212729</v>
      </c>
      <c r="AD9" s="315">
        <f>[9]QX!O$2</f>
        <v>105.26815041777809</v>
      </c>
      <c r="AE9" s="206"/>
      <c r="AF9" s="315">
        <f>[9]QX!P$2</f>
        <v>106.20216868609388</v>
      </c>
      <c r="AG9" s="315">
        <f>[9]QX!Q$2</f>
        <v>103.61723700555198</v>
      </c>
      <c r="AH9" s="315">
        <f>[9]QX!R$2</f>
        <v>106.1240223214845</v>
      </c>
      <c r="AI9" s="315">
        <f>[9]QX!S$2</f>
        <v>106.94963614453786</v>
      </c>
      <c r="AJ9" s="206"/>
      <c r="AK9" s="315">
        <f>[9]QX!T$2</f>
        <v>107.80381485829112</v>
      </c>
      <c r="AL9" s="315">
        <f>[9]QX!U$2</f>
        <v>107.62273353572</v>
      </c>
      <c r="AM9" s="315"/>
      <c r="AN9" s="315">
        <f>[9]QX!V$2</f>
        <v>107.31850721745089</v>
      </c>
      <c r="AO9" s="315">
        <f>[9]QX!W$2</f>
        <v>107.35422649700972</v>
      </c>
      <c r="AP9" s="236"/>
      <c r="AQ9" s="315">
        <f>[9]QX!X$2</f>
        <v>106.0917874523127</v>
      </c>
      <c r="AR9" s="315">
        <f>[9]QX!Y$2</f>
        <v>106.8061251575861</v>
      </c>
      <c r="AS9" s="315">
        <f>[9]QX!Z$2</f>
        <v>107.93695197837603</v>
      </c>
      <c r="AT9" s="315" t="e">
        <f>[9]QX!AA$2</f>
        <v>#N/A</v>
      </c>
      <c r="AU9" s="315"/>
      <c r="AV9" s="315" t="e">
        <f>[9]QX!AB2</f>
        <v>#N/A</v>
      </c>
      <c r="AW9" s="315" t="e">
        <f>[9]QX!AC2</f>
        <v>#N/A</v>
      </c>
      <c r="AX9" s="315" t="e">
        <f>[9]QX!AD2</f>
        <v>#N/A</v>
      </c>
      <c r="AY9" s="315" t="e">
        <f>[9]QX!AE2</f>
        <v>#N/A</v>
      </c>
      <c r="AZ9" s="315"/>
      <c r="BA9" s="438" t="e">
        <f>[9]QX!AF$2</f>
        <v>#N/A</v>
      </c>
      <c r="BB9" s="384">
        <f>[9]QX!AG$2</f>
        <v>0</v>
      </c>
    </row>
    <row r="10" spans="1:54" ht="15" customHeight="1" x14ac:dyDescent="0.3">
      <c r="A10" s="205" t="s">
        <v>98</v>
      </c>
      <c r="B10" s="206">
        <f t="shared" si="0"/>
        <v>83.157321249900619</v>
      </c>
      <c r="C10" s="206">
        <f t="shared" si="1"/>
        <v>96.023368471212663</v>
      </c>
      <c r="D10" s="206">
        <f t="shared" si="2"/>
        <v>102.96264757535546</v>
      </c>
      <c r="E10" s="206">
        <f t="shared" si="3"/>
        <v>108.0570873353301</v>
      </c>
      <c r="F10" s="206">
        <f t="shared" si="4"/>
        <v>114.6328988302553</v>
      </c>
      <c r="G10" s="206">
        <f t="shared" si="5"/>
        <v>111.7525896762329</v>
      </c>
      <c r="H10" s="206" t="e">
        <f t="shared" si="6"/>
        <v>#N/A</v>
      </c>
      <c r="I10" s="206" t="e">
        <f t="shared" si="7"/>
        <v>#N/A</v>
      </c>
      <c r="J10" s="206">
        <v>81.925226300188399</v>
      </c>
      <c r="K10" s="206"/>
      <c r="L10" s="206">
        <v>83.877040412075857</v>
      </c>
      <c r="M10" s="206">
        <v>85.618279509786049</v>
      </c>
      <c r="N10" s="206">
        <v>78.015002608905277</v>
      </c>
      <c r="O10" s="206">
        <v>79.453596819735537</v>
      </c>
      <c r="P10" s="206"/>
      <c r="Q10" s="206">
        <v>83.262888406481409</v>
      </c>
      <c r="R10" s="315">
        <f>[9]QX!E$3</f>
        <v>91.897797164480281</v>
      </c>
      <c r="S10" s="315">
        <f>[9]QX!F$3</f>
        <v>93.64876220887443</v>
      </c>
      <c r="T10" s="315">
        <f>[9]QX!G$3</f>
        <v>93.898911209344533</v>
      </c>
      <c r="U10" s="206"/>
      <c r="V10" s="315">
        <f>[9]QX!H$3</f>
        <v>96.992593900347018</v>
      </c>
      <c r="W10" s="315">
        <f>[9]QX!I$3</f>
        <v>99.553206566284715</v>
      </c>
      <c r="X10" s="315">
        <f>[9]QX!J$3</f>
        <v>103.14703491929872</v>
      </c>
      <c r="Y10" s="315">
        <f>[9]QX!K$3</f>
        <v>102.85190487373239</v>
      </c>
      <c r="Z10" s="206"/>
      <c r="AA10" s="315">
        <f>[9]QX!L$3</f>
        <v>104.41572881310439</v>
      </c>
      <c r="AB10" s="315">
        <f>[9]QX!M$3</f>
        <v>101.4359216952863</v>
      </c>
      <c r="AC10" s="315">
        <f>[9]QX!N$3</f>
        <v>106.45668475017406</v>
      </c>
      <c r="AD10" s="315">
        <f>[9]QX!O$3</f>
        <v>109.47687519474989</v>
      </c>
      <c r="AE10" s="206"/>
      <c r="AF10" s="315">
        <f>[9]QX!P$3</f>
        <v>106.45079540389825</v>
      </c>
      <c r="AG10" s="315">
        <f>[9]QX!Q$3</f>
        <v>109.84399399249814</v>
      </c>
      <c r="AH10" s="315">
        <f>[9]QX!R$3</f>
        <v>109.4158696359106</v>
      </c>
      <c r="AI10" s="315">
        <f>[9]QX!S$3</f>
        <v>115.08115204673707</v>
      </c>
      <c r="AJ10" s="206"/>
      <c r="AK10" s="315">
        <f>[9]QX!T$3</f>
        <v>117.77508588950705</v>
      </c>
      <c r="AL10" s="315">
        <f>[9]QX!U$3</f>
        <v>116.2594877488665</v>
      </c>
      <c r="AM10" s="315"/>
      <c r="AN10" s="315">
        <f>[9]QX!V$3</f>
        <v>114.20580139102258</v>
      </c>
      <c r="AO10" s="315">
        <f>[9]QX!W$3</f>
        <v>113.44865514274773</v>
      </c>
      <c r="AP10" s="236"/>
      <c r="AQ10" s="315">
        <f>[9]QX!X$3</f>
        <v>109.92496484749152</v>
      </c>
      <c r="AR10" s="315">
        <f>[9]QX!Y$3</f>
        <v>109.43093732366974</v>
      </c>
      <c r="AS10" s="315">
        <f>[9]QX!Z$3</f>
        <v>111.96901609832565</v>
      </c>
      <c r="AT10" s="315" t="e">
        <f>[9]QX!AA$3</f>
        <v>#N/A</v>
      </c>
      <c r="AU10" s="315"/>
      <c r="AV10" s="315" t="e">
        <f>[9]QX!AB3</f>
        <v>#N/A</v>
      </c>
      <c r="AW10" s="315" t="e">
        <f>[9]QX!AC3</f>
        <v>#N/A</v>
      </c>
      <c r="AX10" s="315" t="e">
        <f>[9]QX!AD3</f>
        <v>#N/A</v>
      </c>
      <c r="AY10" s="315" t="e">
        <f>[9]QX!AE3</f>
        <v>#N/A</v>
      </c>
      <c r="AZ10" s="315"/>
      <c r="BA10" s="438" t="e">
        <f>[9]QX!AF$3</f>
        <v>#N/A</v>
      </c>
      <c r="BB10" s="384">
        <f>[9]QX!AG$3</f>
        <v>0</v>
      </c>
    </row>
    <row r="11" spans="1:54" ht="15" customHeight="1" x14ac:dyDescent="0.3">
      <c r="A11" s="205" t="s">
        <v>99</v>
      </c>
      <c r="B11" s="206">
        <f t="shared" si="0"/>
        <v>91.146115895801614</v>
      </c>
      <c r="C11" s="206">
        <f t="shared" si="1"/>
        <v>98.164745505179781</v>
      </c>
      <c r="D11" s="206">
        <f t="shared" si="2"/>
        <v>100.10648656362346</v>
      </c>
      <c r="E11" s="206">
        <f t="shared" si="3"/>
        <v>102.05971981682741</v>
      </c>
      <c r="F11" s="206">
        <f t="shared" si="4"/>
        <v>108.00595405739</v>
      </c>
      <c r="G11" s="206">
        <f t="shared" si="5"/>
        <v>111.39244808449543</v>
      </c>
      <c r="H11" s="206" t="e">
        <f t="shared" si="6"/>
        <v>#N/A</v>
      </c>
      <c r="I11" s="206" t="e">
        <f t="shared" si="7"/>
        <v>#N/A</v>
      </c>
      <c r="J11" s="206">
        <v>86.637656563090005</v>
      </c>
      <c r="K11" s="206"/>
      <c r="L11" s="206">
        <v>87.097580289105721</v>
      </c>
      <c r="M11" s="206">
        <v>89.305626027722312</v>
      </c>
      <c r="N11" s="206">
        <v>89.940290233189998</v>
      </c>
      <c r="O11" s="206">
        <v>89.692546079427999</v>
      </c>
      <c r="P11" s="206"/>
      <c r="Q11" s="206">
        <v>89.724520676969618</v>
      </c>
      <c r="R11" s="315">
        <f>[9]QX!E$4</f>
        <v>95.227106593618842</v>
      </c>
      <c r="S11" s="315">
        <f>[9]QX!F$4</f>
        <v>94.757863555827825</v>
      </c>
      <c r="T11" s="315">
        <f>[9]QX!G$4</f>
        <v>98.05829456116065</v>
      </c>
      <c r="U11" s="206"/>
      <c r="V11" s="315">
        <f>[9]QX!H$4</f>
        <v>100.98662920344175</v>
      </c>
      <c r="W11" s="315">
        <f>[9]QX!I$4</f>
        <v>98.856194700288896</v>
      </c>
      <c r="X11" s="315">
        <f>[9]QX!J$4</f>
        <v>99.204039407846551</v>
      </c>
      <c r="Y11" s="315">
        <f>[9]QX!K$4</f>
        <v>100.14754848960568</v>
      </c>
      <c r="Z11" s="206"/>
      <c r="AA11" s="315">
        <f>[9]QX!L$4</f>
        <v>102.86845127810601</v>
      </c>
      <c r="AB11" s="315">
        <f>[9]QX!M$4</f>
        <v>98.205907078935581</v>
      </c>
      <c r="AC11" s="315">
        <f>[9]QX!N$4</f>
        <v>100.64085679549989</v>
      </c>
      <c r="AD11" s="315">
        <f>[9]QX!O$4</f>
        <v>102.07247070532799</v>
      </c>
      <c r="AE11" s="206"/>
      <c r="AF11" s="315">
        <f>[9]QX!P$4</f>
        <v>102.87294650884064</v>
      </c>
      <c r="AG11" s="315">
        <f>[9]QX!Q$4</f>
        <v>102.65260525764113</v>
      </c>
      <c r="AH11" s="315">
        <f>[9]QX!R$4</f>
        <v>104.81837015128293</v>
      </c>
      <c r="AI11" s="315">
        <f>[9]QX!S$4</f>
        <v>107.76602940862421</v>
      </c>
      <c r="AJ11" s="206"/>
      <c r="AK11" s="315">
        <f>[9]QX!T$4</f>
        <v>107.41908893162163</v>
      </c>
      <c r="AL11" s="315">
        <f>[9]QX!U$4</f>
        <v>112.02032773803124</v>
      </c>
      <c r="AM11" s="315"/>
      <c r="AN11" s="315">
        <f>[9]QX!V$4</f>
        <v>112.83575347743077</v>
      </c>
      <c r="AO11" s="315">
        <f>[9]QX!W$4</f>
        <v>112.52192816148255</v>
      </c>
      <c r="AP11" s="236"/>
      <c r="AQ11" s="315">
        <f>[9]QX!X$4</f>
        <v>109.6274598125126</v>
      </c>
      <c r="AR11" s="315">
        <f>[9]QX!Y$4</f>
        <v>110.58465088655579</v>
      </c>
      <c r="AS11" s="315">
        <f>[9]QX!Z$4</f>
        <v>111.09924524144994</v>
      </c>
      <c r="AT11" s="315" t="e">
        <f>[9]QX!AA$4</f>
        <v>#N/A</v>
      </c>
      <c r="AU11" s="315"/>
      <c r="AV11" s="315" t="e">
        <f>[9]QX!AB4</f>
        <v>#N/A</v>
      </c>
      <c r="AW11" s="315" t="e">
        <f>[9]QX!AC4</f>
        <v>#N/A</v>
      </c>
      <c r="AX11" s="315" t="e">
        <f>[9]QX!AD4</f>
        <v>#N/A</v>
      </c>
      <c r="AY11" s="315" t="e">
        <f>[9]QX!AE4</f>
        <v>#N/A</v>
      </c>
      <c r="AZ11" s="315"/>
      <c r="BA11" s="438" t="e">
        <f>[9]QX!AF$4</f>
        <v>#N/A</v>
      </c>
      <c r="BB11" s="384">
        <f>[9]QX!AG$4</f>
        <v>0</v>
      </c>
    </row>
    <row r="12" spans="1:54" ht="15" customHeight="1" x14ac:dyDescent="0.3">
      <c r="A12" s="205" t="s">
        <v>100</v>
      </c>
      <c r="B12" s="206">
        <f t="shared" si="0"/>
        <v>101.86120445145743</v>
      </c>
      <c r="C12" s="206">
        <f t="shared" si="1"/>
        <v>100.83588315296167</v>
      </c>
      <c r="D12" s="206">
        <f t="shared" si="2"/>
        <v>102.05319757793539</v>
      </c>
      <c r="E12" s="206">
        <f t="shared" si="3"/>
        <v>102.73487639546416</v>
      </c>
      <c r="F12" s="206">
        <f t="shared" si="4"/>
        <v>102.70748243460334</v>
      </c>
      <c r="G12" s="206">
        <f t="shared" si="5"/>
        <v>96.727863752413725</v>
      </c>
      <c r="H12" s="206" t="e">
        <f t="shared" si="6"/>
        <v>#N/A</v>
      </c>
      <c r="I12" s="206" t="e">
        <f t="shared" si="7"/>
        <v>#N/A</v>
      </c>
      <c r="J12" s="206">
        <v>87.109063408332617</v>
      </c>
      <c r="K12" s="206"/>
      <c r="L12" s="206">
        <v>88.088073644552466</v>
      </c>
      <c r="M12" s="206">
        <v>93.370090153369873</v>
      </c>
      <c r="N12" s="206">
        <v>95.145415442175945</v>
      </c>
      <c r="O12" s="206">
        <v>101.5571280083484</v>
      </c>
      <c r="P12" s="206"/>
      <c r="Q12" s="206">
        <v>105.34778599802964</v>
      </c>
      <c r="R12" s="315">
        <f>[9]QX!E$5</f>
        <v>105.39448835727575</v>
      </c>
      <c r="S12" s="315">
        <f>[9]QX!F$5</f>
        <v>104.43049207460085</v>
      </c>
      <c r="T12" s="315">
        <f>[9]QX!G$5</f>
        <v>101.59033128511805</v>
      </c>
      <c r="U12" s="206"/>
      <c r="V12" s="315">
        <f>[9]QX!H$5</f>
        <v>99.43828528185982</v>
      </c>
      <c r="W12" s="315">
        <f>[9]QX!I$5</f>
        <v>97.88442397026796</v>
      </c>
      <c r="X12" s="315">
        <f>[9]QX!J$5</f>
        <v>99.579129658292103</v>
      </c>
      <c r="Y12" s="315">
        <f>[9]QX!K$5</f>
        <v>103.18410922066205</v>
      </c>
      <c r="Z12" s="206"/>
      <c r="AA12" s="315">
        <f>[9]QX!L$5</f>
        <v>103.94656787277451</v>
      </c>
      <c r="AB12" s="315">
        <f>[9]QX!M$5</f>
        <v>101.50298356001292</v>
      </c>
      <c r="AC12" s="315">
        <f>[9]QX!N$5</f>
        <v>99.511897358569612</v>
      </c>
      <c r="AD12" s="315">
        <f>[9]QX!O$5</f>
        <v>101.33779958094362</v>
      </c>
      <c r="AE12" s="206"/>
      <c r="AF12" s="315">
        <f>[9]QX!P$5</f>
        <v>103.22145761916939</v>
      </c>
      <c r="AG12" s="315">
        <f>[9]QX!Q$5</f>
        <v>106.86835102317401</v>
      </c>
      <c r="AH12" s="315">
        <f>[9]QX!R$5</f>
        <v>104.1613519692059</v>
      </c>
      <c r="AI12" s="315">
        <f>[9]QX!S$5</f>
        <v>106.12189419792746</v>
      </c>
      <c r="AJ12" s="206"/>
      <c r="AK12" s="315">
        <f>[9]QX!T$5</f>
        <v>101.64671456789928</v>
      </c>
      <c r="AL12" s="315">
        <f>[9]QX!U$5</f>
        <v>98.899969003380704</v>
      </c>
      <c r="AM12" s="315"/>
      <c r="AN12" s="315">
        <f>[9]QX!V$5</f>
        <v>97.728539858199142</v>
      </c>
      <c r="AO12" s="315">
        <f>[9]QX!W$5</f>
        <v>96.618562506681727</v>
      </c>
      <c r="AP12" s="236"/>
      <c r="AQ12" s="315">
        <f>[9]QX!X$5</f>
        <v>95.940511174020386</v>
      </c>
      <c r="AR12" s="315">
        <f>[9]QX!Y$5</f>
        <v>96.623841470753618</v>
      </c>
      <c r="AS12" s="315">
        <f>[9]QX!Z$5</f>
        <v>97.105086296304535</v>
      </c>
      <c r="AT12" s="315" t="e">
        <f>[9]QX!AA$5</f>
        <v>#N/A</v>
      </c>
      <c r="AU12" s="315"/>
      <c r="AV12" s="315" t="e">
        <f>[9]QX!AB5</f>
        <v>#N/A</v>
      </c>
      <c r="AW12" s="315" t="e">
        <f>[9]QX!AC5</f>
        <v>#N/A</v>
      </c>
      <c r="AX12" s="315" t="e">
        <f>[9]QX!AD5</f>
        <v>#N/A</v>
      </c>
      <c r="AY12" s="315" t="e">
        <f>[9]QX!AE5</f>
        <v>#N/A</v>
      </c>
      <c r="AZ12" s="315"/>
      <c r="BA12" s="438" t="e">
        <f>[9]QX!AF$5</f>
        <v>#N/A</v>
      </c>
      <c r="BB12" s="384">
        <f>[9]QX!AG$5</f>
        <v>0</v>
      </c>
    </row>
    <row r="13" spans="1:54" ht="15" customHeight="1" x14ac:dyDescent="0.3">
      <c r="A13" s="205" t="s">
        <v>101</v>
      </c>
      <c r="B13" s="206">
        <f t="shared" si="0"/>
        <v>89.636042568734496</v>
      </c>
      <c r="C13" s="206">
        <f t="shared" si="1"/>
        <v>99.516188427701749</v>
      </c>
      <c r="D13" s="206">
        <f t="shared" si="2"/>
        <v>102.7638885253205</v>
      </c>
      <c r="E13" s="206">
        <f t="shared" si="3"/>
        <v>106.89710851159455</v>
      </c>
      <c r="F13" s="206">
        <f t="shared" si="4"/>
        <v>108.0329412532006</v>
      </c>
      <c r="G13" s="206">
        <f t="shared" si="5"/>
        <v>106.65580307467241</v>
      </c>
      <c r="H13" s="206" t="e">
        <f t="shared" si="6"/>
        <v>#N/A</v>
      </c>
      <c r="I13" s="206" t="e">
        <f t="shared" si="7"/>
        <v>#N/A</v>
      </c>
      <c r="J13" s="206">
        <v>83.174432931330784</v>
      </c>
      <c r="K13" s="206"/>
      <c r="L13" s="206">
        <v>82.897421324217149</v>
      </c>
      <c r="M13" s="206">
        <v>82.754558768846849</v>
      </c>
      <c r="N13" s="206">
        <v>85.494461469111542</v>
      </c>
      <c r="O13" s="206">
        <v>86.773142370259336</v>
      </c>
      <c r="P13" s="206"/>
      <c r="Q13" s="206">
        <v>89.340117375369417</v>
      </c>
      <c r="R13" s="315">
        <f>[9]QX!E$6</f>
        <v>96.936449060197674</v>
      </c>
      <c r="S13" s="315">
        <f>[9]QX!F$6</f>
        <v>100.31213690857385</v>
      </c>
      <c r="T13" s="315">
        <f>[9]QX!G$6</f>
        <v>100.20276128797788</v>
      </c>
      <c r="U13" s="206"/>
      <c r="V13" s="315">
        <f>[9]QX!H$6</f>
        <v>96.849648227193541</v>
      </c>
      <c r="W13" s="315">
        <f>[9]QX!I$6</f>
        <v>100.70020728706173</v>
      </c>
      <c r="X13" s="315">
        <f>[9]QX!J$6</f>
        <v>101.32851624786451</v>
      </c>
      <c r="Y13" s="315">
        <f>[9]QX!K$6</f>
        <v>101.3966597899062</v>
      </c>
      <c r="Z13" s="206"/>
      <c r="AA13" s="315">
        <f>[9]QX!L$6</f>
        <v>103.1608961288009</v>
      </c>
      <c r="AB13" s="315">
        <f>[9]QX!M$6</f>
        <v>105.16948193471033</v>
      </c>
      <c r="AC13" s="315">
        <f>[9]QX!N$6</f>
        <v>105.13462989612223</v>
      </c>
      <c r="AD13" s="315">
        <f>[9]QX!O$6</f>
        <v>105.1350093437224</v>
      </c>
      <c r="AE13" s="206"/>
      <c r="AF13" s="315">
        <f>[9]QX!P$6</f>
        <v>107.57688037059138</v>
      </c>
      <c r="AG13" s="315">
        <f>[9]QX!Q$6</f>
        <v>109.74191443594221</v>
      </c>
      <c r="AH13" s="315">
        <f>[9]QX!R$6</f>
        <v>108.76511035854328</v>
      </c>
      <c r="AI13" s="315">
        <f>[9]QX!S$6</f>
        <v>107.33834626232715</v>
      </c>
      <c r="AJ13" s="206"/>
      <c r="AK13" s="315">
        <f>[9]QX!T$6</f>
        <v>108.77912098075275</v>
      </c>
      <c r="AL13" s="315">
        <f>[9]QX!U$6</f>
        <v>107.24918741117928</v>
      </c>
      <c r="AM13" s="315"/>
      <c r="AN13" s="315">
        <f>[9]QX!V$6</f>
        <v>107.1863729877975</v>
      </c>
      <c r="AO13" s="315">
        <f>[9]QX!W$6</f>
        <v>106.46351107462574</v>
      </c>
      <c r="AP13" s="236"/>
      <c r="AQ13" s="315">
        <f>[9]QX!X$6</f>
        <v>106.48248345463496</v>
      </c>
      <c r="AR13" s="315">
        <f>[9]QX!Y$6</f>
        <v>106.49084478163144</v>
      </c>
      <c r="AS13" s="315">
        <f>[9]QX!Z$6</f>
        <v>106.48287638202758</v>
      </c>
      <c r="AT13" s="315" t="e">
        <f>[9]QX!AA$6</f>
        <v>#N/A</v>
      </c>
      <c r="AU13" s="315"/>
      <c r="AV13" s="315" t="e">
        <f>[9]QX!AB6</f>
        <v>#N/A</v>
      </c>
      <c r="AW13" s="315" t="e">
        <f>[9]QX!AC6</f>
        <v>#N/A</v>
      </c>
      <c r="AX13" s="315" t="e">
        <f>[9]QX!AD6</f>
        <v>#N/A</v>
      </c>
      <c r="AY13" s="315" t="e">
        <f>[9]QX!AE6</f>
        <v>#N/A</v>
      </c>
      <c r="AZ13" s="315"/>
      <c r="BA13" s="438" t="e">
        <f>[9]QX!AF$9</f>
        <v>#N/A</v>
      </c>
      <c r="BB13" s="384">
        <f>[9]QX!AG$9</f>
        <v>0</v>
      </c>
    </row>
    <row r="14" spans="1:54" ht="15" customHeight="1" x14ac:dyDescent="0.3">
      <c r="A14" s="205" t="s">
        <v>102</v>
      </c>
      <c r="B14" s="206">
        <f t="shared" si="0"/>
        <v>81.432229341391803</v>
      </c>
      <c r="C14" s="206">
        <f t="shared" si="1"/>
        <v>97.078473825596177</v>
      </c>
      <c r="D14" s="206">
        <f t="shared" si="2"/>
        <v>101.79835590251346</v>
      </c>
      <c r="E14" s="206">
        <f t="shared" si="3"/>
        <v>107.03544099527143</v>
      </c>
      <c r="F14" s="206">
        <f t="shared" si="4"/>
        <v>109.3561377861455</v>
      </c>
      <c r="G14" s="206">
        <f t="shared" si="5"/>
        <v>113.13563772846079</v>
      </c>
      <c r="H14" s="206" t="e">
        <f t="shared" si="6"/>
        <v>#N/A</v>
      </c>
      <c r="I14" s="206" t="e">
        <f t="shared" si="7"/>
        <v>#N/A</v>
      </c>
      <c r="J14" s="206">
        <v>76.973313039693068</v>
      </c>
      <c r="K14" s="206"/>
      <c r="L14" s="206">
        <v>76.739179145953457</v>
      </c>
      <c r="M14" s="206">
        <v>79.301006918145873</v>
      </c>
      <c r="N14" s="206">
        <v>81.862834690338289</v>
      </c>
      <c r="O14" s="206">
        <v>79.650326535346423</v>
      </c>
      <c r="P14" s="206"/>
      <c r="Q14" s="206">
        <v>81.662579314905415</v>
      </c>
      <c r="R14" s="315">
        <f>[9]QX!E$7</f>
        <v>82.553176824977058</v>
      </c>
      <c r="S14" s="315">
        <f>[9]QX!F$7</f>
        <v>92.328980186874517</v>
      </c>
      <c r="T14" s="315">
        <f>[9]QX!G$7</f>
        <v>96.817804264435537</v>
      </c>
      <c r="U14" s="206"/>
      <c r="V14" s="315">
        <f>[9]QX!H$7</f>
        <v>99.783369675074894</v>
      </c>
      <c r="W14" s="315">
        <f>[9]QX!I$7</f>
        <v>99.383741175999759</v>
      </c>
      <c r="X14" s="315">
        <f>[9]QX!J$7</f>
        <v>100.69459567694712</v>
      </c>
      <c r="Y14" s="315">
        <f>[9]QX!K$7</f>
        <v>100.84127385228108</v>
      </c>
      <c r="Z14" s="206"/>
      <c r="AA14" s="315">
        <f>[9]QX!L$7</f>
        <v>101.48358394705207</v>
      </c>
      <c r="AB14" s="315">
        <f>[9]QX!M$7</f>
        <v>104.17397013377358</v>
      </c>
      <c r="AC14" s="315">
        <f>[9]QX!N$7</f>
        <v>106.15078346615765</v>
      </c>
      <c r="AD14" s="315">
        <f>[9]QX!O$7</f>
        <v>106.25704948848342</v>
      </c>
      <c r="AE14" s="206"/>
      <c r="AF14" s="315">
        <f>[9]QX!P$7</f>
        <v>107.63421361449188</v>
      </c>
      <c r="AG14" s="315">
        <f>[9]QX!Q$7</f>
        <v>108.09971741195277</v>
      </c>
      <c r="AH14" s="315">
        <f>[9]QX!R$7</f>
        <v>106.87052244584631</v>
      </c>
      <c r="AI14" s="315">
        <f>[9]QX!S$7</f>
        <v>107.82139899910261</v>
      </c>
      <c r="AJ14" s="206"/>
      <c r="AK14" s="315">
        <f>[9]QX!T$7</f>
        <v>111.1312411493513</v>
      </c>
      <c r="AL14" s="315">
        <f>[9]QX!U$7</f>
        <v>111.60138855028173</v>
      </c>
      <c r="AM14" s="315"/>
      <c r="AN14" s="315">
        <f>[9]QX!V$7</f>
        <v>114.28316687724559</v>
      </c>
      <c r="AO14" s="315">
        <f>[9]QX!W$7</f>
        <v>113.06693348638676</v>
      </c>
      <c r="AP14" s="236"/>
      <c r="AQ14" s="315">
        <f>[9]QX!X$7</f>
        <v>112.1565532694429</v>
      </c>
      <c r="AR14" s="315">
        <f>[9]QX!Y$7</f>
        <v>113.03589728076794</v>
      </c>
      <c r="AS14" s="315">
        <f>[9]QX!Z$7</f>
        <v>114.98604610533253</v>
      </c>
      <c r="AT14" s="315" t="e">
        <f>[9]QX!AA$7</f>
        <v>#N/A</v>
      </c>
      <c r="AU14" s="315"/>
      <c r="AV14" s="315" t="e">
        <f>[9]QX!AB7</f>
        <v>#N/A</v>
      </c>
      <c r="AW14" s="315" t="e">
        <f>[9]QX!AC7</f>
        <v>#N/A</v>
      </c>
      <c r="AX14" s="315" t="e">
        <f>[9]QX!AD7</f>
        <v>#N/A</v>
      </c>
      <c r="AY14" s="315" t="e">
        <f>[9]QX!AE7</f>
        <v>#N/A</v>
      </c>
      <c r="AZ14" s="315"/>
      <c r="BA14" s="438" t="e">
        <f>[9]QX!AF$7</f>
        <v>#N/A</v>
      </c>
      <c r="BB14" s="384">
        <f>[9]QX!AG$7</f>
        <v>0</v>
      </c>
    </row>
    <row r="15" spans="1:54" ht="15" customHeight="1" x14ac:dyDescent="0.3">
      <c r="A15" s="205" t="s">
        <v>103</v>
      </c>
      <c r="B15" s="206">
        <f t="shared" si="0"/>
        <v>89.868645806515573</v>
      </c>
      <c r="C15" s="206">
        <f t="shared" si="1"/>
        <v>99.514674352776822</v>
      </c>
      <c r="D15" s="206">
        <f t="shared" si="2"/>
        <v>103.76138447211332</v>
      </c>
      <c r="E15" s="206">
        <f t="shared" si="3"/>
        <v>109.79946989716761</v>
      </c>
      <c r="F15" s="206">
        <f t="shared" si="4"/>
        <v>111.71342889026018</v>
      </c>
      <c r="G15" s="206">
        <f t="shared" si="5"/>
        <v>109.69705437235005</v>
      </c>
      <c r="H15" s="206" t="e">
        <f t="shared" si="6"/>
        <v>#N/A</v>
      </c>
      <c r="I15" s="206" t="e">
        <f t="shared" si="7"/>
        <v>#N/A</v>
      </c>
      <c r="J15" s="206">
        <v>84.830867582925521</v>
      </c>
      <c r="K15" s="206"/>
      <c r="L15" s="206">
        <v>85.011151388338519</v>
      </c>
      <c r="M15" s="206">
        <v>83.491661483957742</v>
      </c>
      <c r="N15" s="206">
        <v>85.224856782841869</v>
      </c>
      <c r="O15" s="206">
        <v>91.427990605449367</v>
      </c>
      <c r="P15" s="206"/>
      <c r="Q15" s="206">
        <v>91.145026770866906</v>
      </c>
      <c r="R15" s="315">
        <f>[9]QX!E$8</f>
        <v>91.676709066904138</v>
      </c>
      <c r="S15" s="315">
        <f>[9]QX!F$8</f>
        <v>94.741942595479927</v>
      </c>
      <c r="T15" s="315">
        <f>[9]QX!G$8</f>
        <v>104.20473906474628</v>
      </c>
      <c r="U15" s="206"/>
      <c r="V15" s="315">
        <f>[9]QX!H$8</f>
        <v>101.36598188462506</v>
      </c>
      <c r="W15" s="315">
        <f>[9]QX!I$8</f>
        <v>97.746033866256042</v>
      </c>
      <c r="X15" s="315">
        <f>[9]QX!J$8</f>
        <v>99.149373848656296</v>
      </c>
      <c r="Y15" s="315">
        <f>[9]QX!K$8</f>
        <v>101.23986062533574</v>
      </c>
      <c r="Z15" s="206"/>
      <c r="AA15" s="315">
        <f>[9]QX!L$8</f>
        <v>105.56050638968655</v>
      </c>
      <c r="AB15" s="315">
        <f>[9]QX!M$8</f>
        <v>109.09579702477468</v>
      </c>
      <c r="AC15" s="315">
        <f>[9]QX!N$8</f>
        <v>109.02600428633444</v>
      </c>
      <c r="AD15" s="315">
        <f>[9]QX!O$8</f>
        <v>108.62220539236415</v>
      </c>
      <c r="AE15" s="206"/>
      <c r="AF15" s="315">
        <f>[9]QX!P$8</f>
        <v>110.61533235487802</v>
      </c>
      <c r="AG15" s="315">
        <f>[9]QX!Q$8</f>
        <v>110.9343375550938</v>
      </c>
      <c r="AH15" s="315">
        <f>[9]QX!R$8</f>
        <v>111.59119725903156</v>
      </c>
      <c r="AI15" s="315">
        <f>[9]QX!S$8</f>
        <v>111.6565877643946</v>
      </c>
      <c r="AJ15" s="206"/>
      <c r="AK15" s="315">
        <f>[9]QX!T$8</f>
        <v>111.88720077827985</v>
      </c>
      <c r="AL15" s="315">
        <f>[9]QX!U$8</f>
        <v>111.71872975933466</v>
      </c>
      <c r="AM15" s="315"/>
      <c r="AN15" s="315">
        <f>[9]QX!V$8</f>
        <v>109.65775323889333</v>
      </c>
      <c r="AO15" s="315">
        <f>[9]QX!W$8</f>
        <v>109.96059076460448</v>
      </c>
      <c r="AP15" s="236"/>
      <c r="AQ15" s="315">
        <f>[9]QX!X$8</f>
        <v>109.54002162869325</v>
      </c>
      <c r="AR15" s="315">
        <f>[9]QX!Y$8</f>
        <v>109.62985185720912</v>
      </c>
      <c r="AS15" s="315">
        <f>[9]QX!Z$8</f>
        <v>109.49106353730581</v>
      </c>
      <c r="AT15" s="315" t="e">
        <f>[9]QX!AA$8</f>
        <v>#N/A</v>
      </c>
      <c r="AU15" s="315"/>
      <c r="AV15" s="315" t="e">
        <f>[9]QX!AB8</f>
        <v>#N/A</v>
      </c>
      <c r="AW15" s="315" t="e">
        <f>[9]QX!AC8</f>
        <v>#N/A</v>
      </c>
      <c r="AX15" s="315" t="e">
        <f>[9]QX!AD8</f>
        <v>#N/A</v>
      </c>
      <c r="AY15" s="315" t="e">
        <f>[9]QX!AE8</f>
        <v>#N/A</v>
      </c>
      <c r="AZ15" s="315"/>
      <c r="BA15" s="438" t="e">
        <f>[9]QX!AF$8</f>
        <v>#N/A</v>
      </c>
      <c r="BB15" s="384">
        <f>[9]QX!AG$8</f>
        <v>0</v>
      </c>
    </row>
    <row r="16" spans="1:54" s="191" customFormat="1" ht="15" customHeight="1" x14ac:dyDescent="0.2">
      <c r="A16" s="311"/>
      <c r="B16" s="222"/>
      <c r="C16"/>
      <c r="D16" s="223" t="s">
        <v>104</v>
      </c>
      <c r="E16" s="224"/>
      <c r="F16" s="224"/>
      <c r="G16" s="224"/>
      <c r="H16" s="224"/>
      <c r="I16" s="224"/>
      <c r="J16" s="225"/>
      <c r="K16" s="225"/>
      <c r="L16" s="224"/>
      <c r="M16" s="224"/>
      <c r="N16" s="223"/>
      <c r="O16" s="224"/>
      <c r="P16" s="224"/>
      <c r="Q16" s="224"/>
      <c r="R16" s="224"/>
      <c r="S16" s="224"/>
      <c r="T16" s="224"/>
      <c r="U16" s="224"/>
      <c r="V16" s="224"/>
      <c r="W16" s="224"/>
      <c r="X16" s="23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37"/>
      <c r="AL16" s="237"/>
      <c r="AM16" s="237"/>
      <c r="AN16" s="237"/>
      <c r="AO16" s="237"/>
      <c r="AP16" s="237"/>
      <c r="AQ16" s="237"/>
      <c r="AR16" s="316"/>
      <c r="AS16" s="316"/>
      <c r="AT16" s="316"/>
      <c r="AU16" s="316"/>
      <c r="AV16" s="383"/>
      <c r="AW16" s="383"/>
      <c r="AX16" s="383"/>
      <c r="AY16" s="383"/>
      <c r="AZ16" s="383"/>
      <c r="BA16" s="439"/>
      <c r="BB16" s="385"/>
    </row>
    <row r="17" spans="1:55" ht="15" customHeight="1" x14ac:dyDescent="0.3">
      <c r="A17" s="205" t="s">
        <v>94</v>
      </c>
      <c r="B17" s="207"/>
      <c r="C17" s="206">
        <f t="shared" ref="C17:I26" si="8">(C6/B6-1)*100</f>
        <v>8.7110511469345333</v>
      </c>
      <c r="D17" s="206">
        <f t="shared" si="8"/>
        <v>3.3761558701201677</v>
      </c>
      <c r="E17" s="206">
        <f t="shared" si="8"/>
        <v>3.371265033734816</v>
      </c>
      <c r="F17" s="206">
        <f t="shared" si="8"/>
        <v>2.94762290689492</v>
      </c>
      <c r="G17" s="206">
        <f t="shared" si="8"/>
        <v>-0.10976490298081343</v>
      </c>
      <c r="H17" s="206" t="e">
        <f t="shared" si="8"/>
        <v>#N/A</v>
      </c>
      <c r="I17" s="206" t="e">
        <f t="shared" si="8"/>
        <v>#N/A</v>
      </c>
      <c r="J17" s="206"/>
      <c r="K17" s="206"/>
      <c r="L17" s="206"/>
      <c r="M17" s="206"/>
      <c r="N17" s="208"/>
      <c r="O17" s="206">
        <v>4.45667903759146</v>
      </c>
      <c r="P17" s="206"/>
      <c r="Q17" s="208">
        <v>4.4437004690515369</v>
      </c>
      <c r="R17" s="263">
        <f t="shared" ref="R17:T26" si="9">(R6/M6-1)*100</f>
        <v>7.3256771388055197</v>
      </c>
      <c r="S17" s="263">
        <f t="shared" si="9"/>
        <v>10.070398518885849</v>
      </c>
      <c r="T17" s="263">
        <f t="shared" si="9"/>
        <v>9.2363547711655123</v>
      </c>
      <c r="U17" s="208"/>
      <c r="V17" s="180">
        <f t="shared" ref="V17:Y26" si="10">(V6/Q6-1)*100</f>
        <v>10.136394768451895</v>
      </c>
      <c r="W17" s="180">
        <f t="shared" si="10"/>
        <v>5.5716246899618183</v>
      </c>
      <c r="X17" s="180">
        <f t="shared" si="10"/>
        <v>3.7847075083907278</v>
      </c>
      <c r="Y17" s="180">
        <f t="shared" si="10"/>
        <v>3.1310893968106379</v>
      </c>
      <c r="Z17" s="208"/>
      <c r="AA17" s="180">
        <f t="shared" ref="AA17:AD26" si="11">(AA6/V6-1)*100</f>
        <v>3.0378032894868401</v>
      </c>
      <c r="AB17" s="180">
        <f t="shared" si="11"/>
        <v>3.5614359463612466</v>
      </c>
      <c r="AC17" s="180">
        <f t="shared" si="11"/>
        <v>3.4874563453158425</v>
      </c>
      <c r="AD17" s="180">
        <f t="shared" si="11"/>
        <v>3.8904392201196458</v>
      </c>
      <c r="AE17" s="208"/>
      <c r="AF17" s="180">
        <f t="shared" ref="AF17:AI26" si="12">(AF6/AA6-1)*100</f>
        <v>3.2874988802856997</v>
      </c>
      <c r="AG17" s="180">
        <f t="shared" si="12"/>
        <v>2.8308063377539439</v>
      </c>
      <c r="AH17" s="180">
        <f t="shared" si="12"/>
        <v>3.1288093251704341</v>
      </c>
      <c r="AI17" s="180">
        <f t="shared" si="12"/>
        <v>2.9127878746845193</v>
      </c>
      <c r="AJ17" s="208"/>
      <c r="AK17" s="180">
        <f t="shared" ref="AK17:AL26" si="13">(AK6/AF6-1)*100</f>
        <v>2.5578039303721267</v>
      </c>
      <c r="AL17" s="180">
        <f t="shared" si="13"/>
        <v>3.1959666584437052</v>
      </c>
      <c r="AM17" s="180"/>
      <c r="AN17" s="180">
        <f t="shared" ref="AN17:AO26" si="14">(AN6/AH6-1)*100</f>
        <v>2.02618228118705</v>
      </c>
      <c r="AO17" s="180">
        <f t="shared" si="14"/>
        <v>0.36853449655511739</v>
      </c>
      <c r="AP17" s="331"/>
      <c r="AQ17" s="180">
        <f t="shared" ref="AQ17:AR26" si="15">(AQ6/AK6-1)*100</f>
        <v>-1.5164452098922032</v>
      </c>
      <c r="AR17" s="180">
        <f t="shared" si="15"/>
        <v>-1.2717131802450488</v>
      </c>
      <c r="AS17" s="180">
        <f t="shared" ref="AS17:AT26" si="16">(AS6/AN6-1)*100</f>
        <v>-0.22668785499648791</v>
      </c>
      <c r="AT17" s="340" t="e">
        <f t="shared" si="16"/>
        <v>#N/A</v>
      </c>
      <c r="AU17" s="340"/>
      <c r="AV17" s="315" t="e">
        <f>[9]QG!X$9</f>
        <v>#N/A</v>
      </c>
      <c r="AW17" s="315" t="e">
        <f>[9]QG!Y$9</f>
        <v>#N/A</v>
      </c>
      <c r="AX17" s="315" t="e">
        <f>[9]QG!Z$9</f>
        <v>#N/A</v>
      </c>
      <c r="AY17" s="315" t="e">
        <f>[9]QG!AA$9</f>
        <v>#N/A</v>
      </c>
      <c r="AZ17" s="315"/>
      <c r="BA17" s="438">
        <f>[9]QG!AB$9</f>
        <v>0</v>
      </c>
      <c r="BB17" s="384">
        <f>[9]QG!AC$9</f>
        <v>0</v>
      </c>
    </row>
    <row r="18" spans="1:55" x14ac:dyDescent="0.3">
      <c r="A18" s="205" t="s">
        <v>108</v>
      </c>
      <c r="B18" s="207"/>
      <c r="C18" s="206">
        <f t="shared" si="8"/>
        <v>11.296619632965822</v>
      </c>
      <c r="D18" s="206">
        <f t="shared" si="8"/>
        <v>4.2168252386326932</v>
      </c>
      <c r="E18" s="206">
        <f t="shared" si="8"/>
        <v>4.3552182145662588</v>
      </c>
      <c r="F18" s="206">
        <f t="shared" si="8"/>
        <v>5.3057068306283206</v>
      </c>
      <c r="G18" s="206">
        <f t="shared" si="8"/>
        <v>1.8295985563377082</v>
      </c>
      <c r="H18" s="206" t="e">
        <f t="shared" si="8"/>
        <v>#N/A</v>
      </c>
      <c r="I18" s="206" t="e">
        <f t="shared" si="8"/>
        <v>#N/A</v>
      </c>
      <c r="J18" s="206"/>
      <c r="K18" s="206"/>
      <c r="L18" s="206"/>
      <c r="M18" s="206"/>
      <c r="N18" s="208"/>
      <c r="O18" s="206">
        <v>8.7823057273378033</v>
      </c>
      <c r="P18" s="206"/>
      <c r="Q18" s="208">
        <v>8.0380016926401723</v>
      </c>
      <c r="R18" s="263">
        <f t="shared" si="9"/>
        <v>8.7617378153041603</v>
      </c>
      <c r="S18" s="263">
        <f t="shared" si="9"/>
        <v>8.4959753634961324</v>
      </c>
      <c r="T18" s="263">
        <f t="shared" si="9"/>
        <v>11.139232100806007</v>
      </c>
      <c r="U18" s="208"/>
      <c r="V18" s="180">
        <f t="shared" si="10"/>
        <v>15.111271996276333</v>
      </c>
      <c r="W18" s="180">
        <f t="shared" si="10"/>
        <v>10.422048417961083</v>
      </c>
      <c r="X18" s="180">
        <f t="shared" si="10"/>
        <v>8.2606838845731936</v>
      </c>
      <c r="Y18" s="180">
        <f t="shared" si="10"/>
        <v>4.1178349147188431</v>
      </c>
      <c r="Z18" s="208"/>
      <c r="AA18" s="180">
        <f t="shared" si="11"/>
        <v>1.9369168019338634</v>
      </c>
      <c r="AB18" s="180">
        <f t="shared" si="11"/>
        <v>2.8442337976164911</v>
      </c>
      <c r="AC18" s="180">
        <f t="shared" si="11"/>
        <v>2.6268093301247131</v>
      </c>
      <c r="AD18" s="180">
        <f t="shared" si="11"/>
        <v>5.5002770076196361</v>
      </c>
      <c r="AE18" s="208"/>
      <c r="AF18" s="180">
        <f t="shared" si="12"/>
        <v>5.0043087369834538</v>
      </c>
      <c r="AG18" s="180">
        <f t="shared" si="12"/>
        <v>4.2763248850528957</v>
      </c>
      <c r="AH18" s="180">
        <f t="shared" si="12"/>
        <v>5.7718282445814895</v>
      </c>
      <c r="AI18" s="180">
        <f t="shared" si="12"/>
        <v>3.720688945577133</v>
      </c>
      <c r="AJ18" s="208"/>
      <c r="AK18" s="180">
        <f t="shared" si="13"/>
        <v>5.2261487584517097</v>
      </c>
      <c r="AL18" s="180">
        <f t="shared" si="13"/>
        <v>6.5104036956321831</v>
      </c>
      <c r="AM18" s="180"/>
      <c r="AN18" s="180">
        <f t="shared" si="14"/>
        <v>4.7399566367494206</v>
      </c>
      <c r="AO18" s="180">
        <f t="shared" si="14"/>
        <v>2.82263457804246</v>
      </c>
      <c r="AP18" s="331"/>
      <c r="AQ18" s="180">
        <f t="shared" si="15"/>
        <v>0.35807819074795688</v>
      </c>
      <c r="AR18" s="180">
        <f t="shared" si="15"/>
        <v>-0.45613885274289334</v>
      </c>
      <c r="AS18" s="180">
        <f t="shared" si="16"/>
        <v>-0.63102311488162366</v>
      </c>
      <c r="AT18" s="340" t="e">
        <f t="shared" si="16"/>
        <v>#N/A</v>
      </c>
      <c r="AU18" s="340"/>
      <c r="AV18" s="315" t="e">
        <f>[9]QG!X$17</f>
        <v>#N/A</v>
      </c>
      <c r="AW18" s="315" t="e">
        <f>[9]QG!Y$17</f>
        <v>#N/A</v>
      </c>
      <c r="AX18" s="315" t="e">
        <f>[9]QG!Z$17</f>
        <v>#N/A</v>
      </c>
      <c r="AY18" s="315" t="e">
        <f>[9]QG!AA$17</f>
        <v>#N/A</v>
      </c>
      <c r="AZ18" s="315"/>
      <c r="BA18" s="438">
        <f>[9]QG!AB$17</f>
        <v>0</v>
      </c>
      <c r="BB18" s="384">
        <f>[9]QG!AC$17</f>
        <v>0</v>
      </c>
    </row>
    <row r="19" spans="1:55" x14ac:dyDescent="0.3">
      <c r="A19" s="205" t="s">
        <v>96</v>
      </c>
      <c r="B19" s="207"/>
      <c r="C19" s="206">
        <f t="shared" si="8"/>
        <v>7.4503375130009264</v>
      </c>
      <c r="D19" s="206">
        <f t="shared" si="8"/>
        <v>2.9515755922363551</v>
      </c>
      <c r="E19" s="206">
        <f t="shared" si="8"/>
        <v>2.8682118878800233</v>
      </c>
      <c r="F19" s="206">
        <f t="shared" si="8"/>
        <v>1.7246082197518664</v>
      </c>
      <c r="G19" s="206">
        <f t="shared" si="8"/>
        <v>-1.1510208748353401</v>
      </c>
      <c r="H19" s="206" t="e">
        <f t="shared" si="8"/>
        <v>#N/A</v>
      </c>
      <c r="I19" s="206" t="e">
        <f t="shared" si="8"/>
        <v>#N/A</v>
      </c>
      <c r="J19" s="206"/>
      <c r="K19" s="206"/>
      <c r="L19" s="206"/>
      <c r="M19" s="206"/>
      <c r="N19" s="208"/>
      <c r="O19" s="206">
        <v>2.4641150704276082</v>
      </c>
      <c r="P19" s="206"/>
      <c r="Q19" s="208">
        <v>2.7884990390039333</v>
      </c>
      <c r="R19" s="263">
        <f t="shared" si="9"/>
        <v>6.6452912599459735</v>
      </c>
      <c r="S19" s="263">
        <f t="shared" si="9"/>
        <v>10.84909094225206</v>
      </c>
      <c r="T19" s="263">
        <f t="shared" si="9"/>
        <v>8.3057602433219913</v>
      </c>
      <c r="U19" s="208"/>
      <c r="V19" s="180">
        <f t="shared" si="10"/>
        <v>7.7284264533139968</v>
      </c>
      <c r="W19" s="180">
        <f t="shared" si="10"/>
        <v>3.2279537525653268</v>
      </c>
      <c r="X19" s="180">
        <f t="shared" si="10"/>
        <v>1.6179327938497412</v>
      </c>
      <c r="Y19" s="180">
        <f t="shared" si="10"/>
        <v>2.6359007246394617</v>
      </c>
      <c r="Z19" s="208"/>
      <c r="AA19" s="180">
        <f t="shared" si="11"/>
        <v>3.6071783996187046</v>
      </c>
      <c r="AB19" s="180">
        <f t="shared" si="11"/>
        <v>3.9321311934307213</v>
      </c>
      <c r="AC19" s="180">
        <f t="shared" si="11"/>
        <v>3.9313219068631833</v>
      </c>
      <c r="AD19" s="180">
        <f t="shared" si="11"/>
        <v>3.0708929335742541</v>
      </c>
      <c r="AE19" s="208"/>
      <c r="AF19" s="180">
        <f t="shared" si="12"/>
        <v>2.4138844833587969</v>
      </c>
      <c r="AG19" s="180">
        <f t="shared" si="12"/>
        <v>2.0914918476297117</v>
      </c>
      <c r="AH19" s="180">
        <f t="shared" si="12"/>
        <v>1.7828218109753102</v>
      </c>
      <c r="AI19" s="180">
        <f t="shared" si="12"/>
        <v>2.4918023969284775</v>
      </c>
      <c r="AJ19" s="208"/>
      <c r="AK19" s="180">
        <f t="shared" si="13"/>
        <v>1.1656482039048122</v>
      </c>
      <c r="AL19" s="180">
        <f t="shared" si="13"/>
        <v>1.4645105397095515</v>
      </c>
      <c r="AM19" s="180"/>
      <c r="AN19" s="180">
        <f t="shared" si="14"/>
        <v>0.58999850111896013</v>
      </c>
      <c r="AO19" s="180">
        <f t="shared" si="14"/>
        <v>-0.92559418657229831</v>
      </c>
      <c r="AP19" s="331"/>
      <c r="AQ19" s="180">
        <f t="shared" si="15"/>
        <v>-2.5336943681702917</v>
      </c>
      <c r="AR19" s="180">
        <f t="shared" si="15"/>
        <v>-1.7189557445253856</v>
      </c>
      <c r="AS19" s="180">
        <f t="shared" si="16"/>
        <v>-3.877440298105661E-3</v>
      </c>
      <c r="AT19" s="340" t="e">
        <f t="shared" si="16"/>
        <v>#N/A</v>
      </c>
      <c r="AU19" s="340"/>
      <c r="AV19" s="315" t="e">
        <f>[9]QG!X$25</f>
        <v>#N/A</v>
      </c>
      <c r="AW19" s="315" t="e">
        <f>[9]QG!Y$25</f>
        <v>#N/A</v>
      </c>
      <c r="AX19" s="315" t="e">
        <f>[9]QG!Z$25</f>
        <v>#N/A</v>
      </c>
      <c r="AY19" s="315" t="e">
        <f>[9]QG!AA$25</f>
        <v>#N/A</v>
      </c>
      <c r="AZ19" s="315"/>
      <c r="BA19" s="438">
        <f>[9]QG!AB$25</f>
        <v>0</v>
      </c>
      <c r="BB19" s="384">
        <f>[9]QG!AC$25</f>
        <v>0</v>
      </c>
    </row>
    <row r="20" spans="1:55" ht="15" customHeight="1" x14ac:dyDescent="0.3">
      <c r="A20" s="205" t="s">
        <v>97</v>
      </c>
      <c r="B20" s="207"/>
      <c r="C20" s="208">
        <f t="shared" si="8"/>
        <v>7.0607735606894373</v>
      </c>
      <c r="D20" s="208">
        <f t="shared" si="8"/>
        <v>3.1507456104093334</v>
      </c>
      <c r="E20" s="208">
        <f t="shared" si="8"/>
        <v>3.0696476139826512</v>
      </c>
      <c r="F20" s="206">
        <f t="shared" si="8"/>
        <v>2.5429571364732118</v>
      </c>
      <c r="G20" s="206">
        <f t="shared" si="8"/>
        <v>-0.21693350920077847</v>
      </c>
      <c r="H20" s="206" t="e">
        <f t="shared" si="8"/>
        <v>#N/A</v>
      </c>
      <c r="I20" s="206" t="e">
        <f t="shared" si="8"/>
        <v>#N/A</v>
      </c>
      <c r="J20" s="208"/>
      <c r="K20" s="208"/>
      <c r="L20" s="208"/>
      <c r="M20" s="208"/>
      <c r="N20" s="208"/>
      <c r="O20" s="208">
        <v>3.2594629311039736</v>
      </c>
      <c r="P20" s="208"/>
      <c r="Q20" s="208">
        <v>1.5475973261131593</v>
      </c>
      <c r="R20" s="263">
        <f t="shared" si="9"/>
        <v>5.3055498013195868</v>
      </c>
      <c r="S20" s="263">
        <f t="shared" si="9"/>
        <v>8.6371428028733988</v>
      </c>
      <c r="T20" s="263">
        <f t="shared" si="9"/>
        <v>5.2293782404974731</v>
      </c>
      <c r="U20" s="208"/>
      <c r="V20" s="180">
        <f t="shared" si="10"/>
        <v>9.029289702169585</v>
      </c>
      <c r="W20" s="180">
        <f t="shared" si="10"/>
        <v>5.4566126043767094</v>
      </c>
      <c r="X20" s="180">
        <f t="shared" si="10"/>
        <v>3.0771244104939921</v>
      </c>
      <c r="Y20" s="180">
        <f t="shared" si="10"/>
        <v>4.2997469021589962</v>
      </c>
      <c r="Z20" s="208"/>
      <c r="AA20" s="180">
        <f t="shared" si="11"/>
        <v>1.9850304035854416</v>
      </c>
      <c r="AB20" s="180">
        <f t="shared" si="11"/>
        <v>3.2710525693712356</v>
      </c>
      <c r="AC20" s="180">
        <f t="shared" si="11"/>
        <v>3.0383998816188695</v>
      </c>
      <c r="AD20" s="180">
        <f t="shared" si="11"/>
        <v>4.2175199784974415</v>
      </c>
      <c r="AE20" s="208"/>
      <c r="AF20" s="180">
        <f t="shared" si="12"/>
        <v>4.5097833782013597</v>
      </c>
      <c r="AG20" s="180">
        <f t="shared" si="12"/>
        <v>0.55452419714880907</v>
      </c>
      <c r="AH20" s="180">
        <f t="shared" si="12"/>
        <v>3.2472466000103672</v>
      </c>
      <c r="AI20" s="180">
        <f t="shared" si="12"/>
        <v>1.597335680437495</v>
      </c>
      <c r="AJ20" s="208"/>
      <c r="AK20" s="180">
        <f t="shared" si="13"/>
        <v>1.5081106082977414</v>
      </c>
      <c r="AL20" s="180">
        <f t="shared" si="13"/>
        <v>3.8656662211070003</v>
      </c>
      <c r="AM20" s="180"/>
      <c r="AN20" s="180">
        <f t="shared" si="14"/>
        <v>1.1255556186401394</v>
      </c>
      <c r="AO20" s="180">
        <f t="shared" si="14"/>
        <v>0.37829988680380122</v>
      </c>
      <c r="AP20" s="331"/>
      <c r="AQ20" s="180">
        <f t="shared" si="15"/>
        <v>-1.588095382551058</v>
      </c>
      <c r="AR20" s="180">
        <f t="shared" si="15"/>
        <v>-0.75876940801069548</v>
      </c>
      <c r="AS20" s="180">
        <f t="shared" si="16"/>
        <v>0.57627037214749155</v>
      </c>
      <c r="AT20" s="340" t="e">
        <f t="shared" si="16"/>
        <v>#N/A</v>
      </c>
      <c r="AU20" s="340"/>
      <c r="AV20" s="315" t="e">
        <f>[9]QG!X2</f>
        <v>#N/A</v>
      </c>
      <c r="AW20" s="315" t="e">
        <f>[9]QG!Y2</f>
        <v>#N/A</v>
      </c>
      <c r="AX20" s="315" t="e">
        <f>[9]QG!Z2</f>
        <v>#N/A</v>
      </c>
      <c r="AY20" s="315" t="e">
        <f>[9]QG!AA2</f>
        <v>#N/A</v>
      </c>
      <c r="AZ20" s="315"/>
      <c r="BA20" s="438">
        <f>[9]QG!AB2</f>
        <v>0</v>
      </c>
      <c r="BB20" s="384">
        <f>[9]QG!AC2</f>
        <v>0</v>
      </c>
    </row>
    <row r="21" spans="1:55" ht="15" customHeight="1" x14ac:dyDescent="0.3">
      <c r="A21" s="205" t="s">
        <v>98</v>
      </c>
      <c r="B21" s="207"/>
      <c r="C21" s="208">
        <f t="shared" si="8"/>
        <v>15.471935637089107</v>
      </c>
      <c r="D21" s="208">
        <f t="shared" si="8"/>
        <v>7.2266566093472928</v>
      </c>
      <c r="E21" s="208">
        <f t="shared" si="8"/>
        <v>4.9478523328046364</v>
      </c>
      <c r="F21" s="206">
        <f t="shared" si="8"/>
        <v>6.0854976356328194</v>
      </c>
      <c r="G21" s="206">
        <f t="shared" si="8"/>
        <v>-2.5126374569725107</v>
      </c>
      <c r="H21" s="206" t="e">
        <f t="shared" si="8"/>
        <v>#N/A</v>
      </c>
      <c r="I21" s="206" t="e">
        <f t="shared" si="8"/>
        <v>#N/A</v>
      </c>
      <c r="J21" s="208"/>
      <c r="K21" s="208"/>
      <c r="L21" s="208"/>
      <c r="M21" s="208"/>
      <c r="N21" s="208"/>
      <c r="O21" s="208">
        <v>-3.0169333574940338</v>
      </c>
      <c r="P21" s="208"/>
      <c r="Q21" s="208">
        <v>-0.73220514526646241</v>
      </c>
      <c r="R21" s="263">
        <f t="shared" si="9"/>
        <v>7.3343188985437235</v>
      </c>
      <c r="S21" s="263">
        <f t="shared" si="9"/>
        <v>20.039427132166221</v>
      </c>
      <c r="T21" s="263">
        <f t="shared" si="9"/>
        <v>18.180818701490065</v>
      </c>
      <c r="U21" s="208"/>
      <c r="V21" s="180">
        <f t="shared" si="10"/>
        <v>16.489585884696311</v>
      </c>
      <c r="W21" s="180">
        <f t="shared" si="10"/>
        <v>8.3303513664235496</v>
      </c>
      <c r="X21" s="180">
        <f t="shared" si="10"/>
        <v>10.142443409171097</v>
      </c>
      <c r="Y21" s="180">
        <f t="shared" si="10"/>
        <v>9.5347150984822946</v>
      </c>
      <c r="Z21" s="208"/>
      <c r="AA21" s="180">
        <f t="shared" si="11"/>
        <v>7.6533007462241009</v>
      </c>
      <c r="AB21" s="180">
        <f t="shared" si="11"/>
        <v>1.8911647288307298</v>
      </c>
      <c r="AC21" s="180">
        <f t="shared" si="11"/>
        <v>3.2086718086126176</v>
      </c>
      <c r="AD21" s="180">
        <f t="shared" si="11"/>
        <v>6.4412713883624573</v>
      </c>
      <c r="AE21" s="208"/>
      <c r="AF21" s="180">
        <f t="shared" si="12"/>
        <v>1.9490038655349151</v>
      </c>
      <c r="AG21" s="180">
        <f t="shared" si="12"/>
        <v>8.2890480578169381</v>
      </c>
      <c r="AH21" s="180">
        <f t="shared" si="12"/>
        <v>2.7797079090720933</v>
      </c>
      <c r="AI21" s="180">
        <f t="shared" si="12"/>
        <v>5.1191421403083082</v>
      </c>
      <c r="AJ21" s="208"/>
      <c r="AK21" s="180">
        <f t="shared" si="13"/>
        <v>10.638051545450544</v>
      </c>
      <c r="AL21" s="180">
        <f t="shared" si="13"/>
        <v>5.8405503325074992</v>
      </c>
      <c r="AM21" s="180"/>
      <c r="AN21" s="180">
        <f t="shared" si="14"/>
        <v>4.3777303704214399</v>
      </c>
      <c r="AO21" s="180">
        <f t="shared" si="14"/>
        <v>-1.4185614889624665</v>
      </c>
      <c r="AP21" s="331"/>
      <c r="AQ21" s="180">
        <f t="shared" si="15"/>
        <v>-6.665349452073654</v>
      </c>
      <c r="AR21" s="180">
        <f t="shared" si="15"/>
        <v>-5.8735425017072185</v>
      </c>
      <c r="AS21" s="180">
        <f t="shared" si="16"/>
        <v>-1.9585566279934574</v>
      </c>
      <c r="AT21" s="340" t="e">
        <f t="shared" si="16"/>
        <v>#N/A</v>
      </c>
      <c r="AU21" s="340"/>
      <c r="AV21" s="315" t="e">
        <f>[9]QG!X3</f>
        <v>#N/A</v>
      </c>
      <c r="AW21" s="315" t="e">
        <f>[9]QG!Y3</f>
        <v>#N/A</v>
      </c>
      <c r="AX21" s="315" t="e">
        <f>[9]QG!Z3</f>
        <v>#N/A</v>
      </c>
      <c r="AY21" s="315" t="e">
        <f>[9]QG!AA3</f>
        <v>#N/A</v>
      </c>
      <c r="AZ21" s="315"/>
      <c r="BA21" s="438">
        <f>[9]QG!AB3</f>
        <v>0</v>
      </c>
      <c r="BB21" s="384">
        <f>[9]QG!AC3</f>
        <v>0</v>
      </c>
    </row>
    <row r="22" spans="1:55" ht="15" customHeight="1" x14ac:dyDescent="0.3">
      <c r="A22" s="205" t="s">
        <v>99</v>
      </c>
      <c r="B22" s="207"/>
      <c r="C22" s="208">
        <f t="shared" si="8"/>
        <v>7.7004154706952876</v>
      </c>
      <c r="D22" s="208">
        <f t="shared" si="8"/>
        <v>1.9780431849041102</v>
      </c>
      <c r="E22" s="208">
        <f t="shared" si="8"/>
        <v>1.9511555347240694</v>
      </c>
      <c r="F22" s="206">
        <f t="shared" si="8"/>
        <v>5.8262302221039342</v>
      </c>
      <c r="G22" s="206">
        <f t="shared" si="8"/>
        <v>3.1354697587375524</v>
      </c>
      <c r="H22" s="206" t="e">
        <f t="shared" si="8"/>
        <v>#N/A</v>
      </c>
      <c r="I22" s="206" t="e">
        <f t="shared" si="8"/>
        <v>#N/A</v>
      </c>
      <c r="J22" s="208"/>
      <c r="K22" s="208"/>
      <c r="L22" s="208"/>
      <c r="M22" s="208"/>
      <c r="N22" s="208"/>
      <c r="O22" s="208">
        <v>3.5260528014321446</v>
      </c>
      <c r="P22" s="208"/>
      <c r="Q22" s="208">
        <v>3.0160888272030117</v>
      </c>
      <c r="R22" s="263">
        <f t="shared" si="9"/>
        <v>6.6305795382458621</v>
      </c>
      <c r="S22" s="263">
        <f t="shared" si="9"/>
        <v>5.3564129158880869</v>
      </c>
      <c r="T22" s="263">
        <f t="shared" si="9"/>
        <v>9.3271390404329644</v>
      </c>
      <c r="U22" s="208"/>
      <c r="V22" s="180">
        <f t="shared" si="10"/>
        <v>12.55187371467661</v>
      </c>
      <c r="W22" s="180">
        <f t="shared" si="10"/>
        <v>3.8109822260558257</v>
      </c>
      <c r="X22" s="180">
        <f t="shared" si="10"/>
        <v>4.6921444671440993</v>
      </c>
      <c r="Y22" s="180">
        <f t="shared" si="10"/>
        <v>2.1306243778713929</v>
      </c>
      <c r="Z22" s="208"/>
      <c r="AA22" s="180">
        <f t="shared" si="11"/>
        <v>1.8634368623921871</v>
      </c>
      <c r="AB22" s="180">
        <f t="shared" si="11"/>
        <v>-0.6578117065145439</v>
      </c>
      <c r="AC22" s="180">
        <f t="shared" si="11"/>
        <v>1.4483456482515811</v>
      </c>
      <c r="AD22" s="180">
        <f t="shared" si="11"/>
        <v>1.9220862065556066</v>
      </c>
      <c r="AE22" s="208"/>
      <c r="AF22" s="180">
        <f t="shared" si="12"/>
        <v>4.3698827762783665E-3</v>
      </c>
      <c r="AG22" s="180">
        <f t="shared" si="12"/>
        <v>4.5279335133388665</v>
      </c>
      <c r="AH22" s="180">
        <f t="shared" si="12"/>
        <v>4.1509119544477446</v>
      </c>
      <c r="AI22" s="180">
        <f t="shared" si="12"/>
        <v>5.5779571748908685</v>
      </c>
      <c r="AJ22" s="208"/>
      <c r="AK22" s="180">
        <f t="shared" si="13"/>
        <v>4.4191816965117203</v>
      </c>
      <c r="AL22" s="180">
        <f t="shared" si="13"/>
        <v>9.1256548792684633</v>
      </c>
      <c r="AM22" s="180"/>
      <c r="AN22" s="180">
        <f t="shared" si="14"/>
        <v>7.6488341829551887</v>
      </c>
      <c r="AO22" s="180">
        <f t="shared" si="14"/>
        <v>4.413170624320828</v>
      </c>
      <c r="AP22" s="331"/>
      <c r="AQ22" s="180">
        <f t="shared" si="15"/>
        <v>2.0558458490526954</v>
      </c>
      <c r="AR22" s="180">
        <f t="shared" si="15"/>
        <v>-1.2816217203299951</v>
      </c>
      <c r="AS22" s="180">
        <f t="shared" si="16"/>
        <v>-1.5389698588117895</v>
      </c>
      <c r="AT22" s="340" t="e">
        <f t="shared" si="16"/>
        <v>#N/A</v>
      </c>
      <c r="AU22" s="340"/>
      <c r="AV22" s="315" t="e">
        <f>[9]QG!X4</f>
        <v>#N/A</v>
      </c>
      <c r="AW22" s="315" t="e">
        <f>[9]QG!Y4</f>
        <v>#N/A</v>
      </c>
      <c r="AX22" s="315" t="e">
        <f>[9]QG!Z4</f>
        <v>#N/A</v>
      </c>
      <c r="AY22" s="315" t="e">
        <f>[9]QG!AA4</f>
        <v>#N/A</v>
      </c>
      <c r="AZ22" s="315"/>
      <c r="BA22" s="438">
        <f>[9]QG!AB4</f>
        <v>0</v>
      </c>
      <c r="BB22" s="384">
        <f>[9]QG!AC4</f>
        <v>0</v>
      </c>
    </row>
    <row r="23" spans="1:55" ht="15" customHeight="1" x14ac:dyDescent="0.3">
      <c r="A23" s="205" t="s">
        <v>100</v>
      </c>
      <c r="B23" s="207"/>
      <c r="C23" s="208">
        <f t="shared" si="8"/>
        <v>-1.0065866627214093</v>
      </c>
      <c r="D23" s="208">
        <f t="shared" si="8"/>
        <v>1.2072234475569932</v>
      </c>
      <c r="E23" s="208">
        <f t="shared" si="8"/>
        <v>0.66796419289869569</v>
      </c>
      <c r="F23" s="206">
        <f t="shared" si="8"/>
        <v>-2.6664713894597458E-2</v>
      </c>
      <c r="G23" s="206">
        <f t="shared" si="8"/>
        <v>-5.8219893433733017</v>
      </c>
      <c r="H23" s="206" t="e">
        <f t="shared" si="8"/>
        <v>#N/A</v>
      </c>
      <c r="I23" s="206" t="e">
        <f t="shared" si="8"/>
        <v>#N/A</v>
      </c>
      <c r="J23" s="208"/>
      <c r="K23" s="208"/>
      <c r="L23" s="208"/>
      <c r="M23" s="208"/>
      <c r="N23" s="208"/>
      <c r="O23" s="208">
        <v>16.586178331741451</v>
      </c>
      <c r="P23" s="208"/>
      <c r="Q23" s="208">
        <v>19.593699395814347</v>
      </c>
      <c r="R23" s="263">
        <f t="shared" si="9"/>
        <v>12.878212052868943</v>
      </c>
      <c r="S23" s="263">
        <f t="shared" si="9"/>
        <v>9.7588271481854569</v>
      </c>
      <c r="T23" s="263">
        <f t="shared" si="9"/>
        <v>3.2694186435566763E-2</v>
      </c>
      <c r="U23" s="208"/>
      <c r="V23" s="180">
        <f t="shared" si="10"/>
        <v>-5.6095158148651958</v>
      </c>
      <c r="W23" s="180">
        <f t="shared" si="10"/>
        <v>-7.1256708999331124</v>
      </c>
      <c r="X23" s="180">
        <f t="shared" si="10"/>
        <v>-4.6455420442174429</v>
      </c>
      <c r="Y23" s="180">
        <f t="shared" si="10"/>
        <v>1.5688283672104397</v>
      </c>
      <c r="Z23" s="208"/>
      <c r="AA23" s="180">
        <f t="shared" si="11"/>
        <v>4.5337493281746299</v>
      </c>
      <c r="AB23" s="180">
        <f t="shared" si="11"/>
        <v>3.6967675172140613</v>
      </c>
      <c r="AC23" s="180">
        <f t="shared" si="11"/>
        <v>-6.7516456463523333E-2</v>
      </c>
      <c r="AD23" s="180">
        <f t="shared" si="11"/>
        <v>-1.7893352510026994</v>
      </c>
      <c r="AE23" s="208"/>
      <c r="AF23" s="180">
        <f t="shared" si="12"/>
        <v>-0.69757979358454625</v>
      </c>
      <c r="AG23" s="180">
        <f t="shared" si="12"/>
        <v>5.2859209404311214</v>
      </c>
      <c r="AH23" s="180">
        <f t="shared" si="12"/>
        <v>4.6722600352830046</v>
      </c>
      <c r="AI23" s="180">
        <f t="shared" si="12"/>
        <v>4.7209379291510478</v>
      </c>
      <c r="AJ23" s="208"/>
      <c r="AK23" s="180">
        <f t="shared" si="13"/>
        <v>-1.525596603256707</v>
      </c>
      <c r="AL23" s="180">
        <f t="shared" si="13"/>
        <v>-7.456259915590346</v>
      </c>
      <c r="AM23" s="180"/>
      <c r="AN23" s="180">
        <f t="shared" si="14"/>
        <v>-6.1758147234000411</v>
      </c>
      <c r="AO23" s="180">
        <f t="shared" si="14"/>
        <v>-8.9551093702880173</v>
      </c>
      <c r="AP23" s="331"/>
      <c r="AQ23" s="180">
        <f t="shared" si="15"/>
        <v>-5.6137607773512403</v>
      </c>
      <c r="AR23" s="180">
        <f t="shared" si="15"/>
        <v>-2.3014441314428313</v>
      </c>
      <c r="AS23" s="180">
        <f t="shared" si="16"/>
        <v>-0.63794421035985316</v>
      </c>
      <c r="AT23" s="340" t="e">
        <f t="shared" si="16"/>
        <v>#N/A</v>
      </c>
      <c r="AU23" s="340"/>
      <c r="AV23" s="315" t="e">
        <f>[9]QG!X5</f>
        <v>#N/A</v>
      </c>
      <c r="AW23" s="315" t="e">
        <f>[9]QG!Y5</f>
        <v>#N/A</v>
      </c>
      <c r="AX23" s="315" t="e">
        <f>[9]QG!Z5</f>
        <v>#N/A</v>
      </c>
      <c r="AY23" s="315" t="e">
        <f>[9]QG!AA5</f>
        <v>#N/A</v>
      </c>
      <c r="AZ23" s="315"/>
      <c r="BA23" s="438">
        <f>[9]QG!AB5</f>
        <v>0</v>
      </c>
      <c r="BB23" s="384">
        <f>[9]QG!AC5</f>
        <v>0</v>
      </c>
    </row>
    <row r="24" spans="1:55" ht="15" customHeight="1" x14ac:dyDescent="0.3">
      <c r="A24" s="205" t="s">
        <v>101</v>
      </c>
      <c r="B24" s="207"/>
      <c r="C24" s="208">
        <f t="shared" si="8"/>
        <v>11.022514577649932</v>
      </c>
      <c r="D24" s="208">
        <f t="shared" si="8"/>
        <v>3.2634892362042089</v>
      </c>
      <c r="E24" s="208">
        <f t="shared" si="8"/>
        <v>4.0220548731528805</v>
      </c>
      <c r="F24" s="206">
        <f t="shared" si="8"/>
        <v>1.0625476754432928</v>
      </c>
      <c r="G24" s="206">
        <f t="shared" si="8"/>
        <v>-1.2747391328544411</v>
      </c>
      <c r="H24" s="206" t="e">
        <f t="shared" si="8"/>
        <v>#N/A</v>
      </c>
      <c r="I24" s="206" t="e">
        <f t="shared" si="8"/>
        <v>#N/A</v>
      </c>
      <c r="J24" s="208"/>
      <c r="K24" s="208"/>
      <c r="L24" s="208"/>
      <c r="M24" s="208"/>
      <c r="N24" s="208"/>
      <c r="O24" s="208">
        <v>4.3267015020104438</v>
      </c>
      <c r="P24" s="208"/>
      <c r="Q24" s="208">
        <v>7.7718895814074429</v>
      </c>
      <c r="R24" s="263">
        <f t="shared" si="9"/>
        <v>17.137291893446282</v>
      </c>
      <c r="S24" s="263">
        <f t="shared" si="9"/>
        <v>17.331737266765291</v>
      </c>
      <c r="T24" s="263">
        <f t="shared" si="9"/>
        <v>15.476699991357478</v>
      </c>
      <c r="U24" s="208"/>
      <c r="V24" s="180">
        <f t="shared" si="10"/>
        <v>8.4055529278882055</v>
      </c>
      <c r="W24" s="180">
        <f t="shared" si="10"/>
        <v>3.8827069315555018</v>
      </c>
      <c r="X24" s="180">
        <f t="shared" si="10"/>
        <v>1.0132167159563332</v>
      </c>
      <c r="Y24" s="180">
        <f t="shared" si="10"/>
        <v>1.1914826363887521</v>
      </c>
      <c r="Z24" s="208"/>
      <c r="AA24" s="180">
        <f t="shared" si="11"/>
        <v>6.5165418947131348</v>
      </c>
      <c r="AB24" s="180">
        <f t="shared" si="11"/>
        <v>4.4381980614083938</v>
      </c>
      <c r="AC24" s="180">
        <f t="shared" si="11"/>
        <v>3.7562117646600113</v>
      </c>
      <c r="AD24" s="180">
        <f t="shared" si="11"/>
        <v>3.686856708654962</v>
      </c>
      <c r="AE24" s="208"/>
      <c r="AF24" s="180">
        <f t="shared" si="12"/>
        <v>4.2806765038924555</v>
      </c>
      <c r="AG24" s="180">
        <f t="shared" si="12"/>
        <v>4.3476799705740365</v>
      </c>
      <c r="AH24" s="180">
        <f t="shared" si="12"/>
        <v>3.4531728185167143</v>
      </c>
      <c r="AI24" s="180">
        <f t="shared" si="12"/>
        <v>2.0957214274849978</v>
      </c>
      <c r="AJ24" s="208"/>
      <c r="AK24" s="180">
        <f t="shared" si="13"/>
        <v>1.1175641141663251</v>
      </c>
      <c r="AL24" s="180">
        <f t="shared" si="13"/>
        <v>-2.2714448144769417</v>
      </c>
      <c r="AM24" s="180"/>
      <c r="AN24" s="180">
        <f t="shared" si="14"/>
        <v>-1.4515108434510759</v>
      </c>
      <c r="AO24" s="180">
        <f t="shared" si="14"/>
        <v>-0.81502577425905942</v>
      </c>
      <c r="AP24" s="331"/>
      <c r="AQ24" s="180">
        <f t="shared" si="15"/>
        <v>-2.1112852405970051</v>
      </c>
      <c r="AR24" s="180">
        <f t="shared" si="15"/>
        <v>-0.70708473215788104</v>
      </c>
      <c r="AS24" s="180">
        <f t="shared" si="16"/>
        <v>-0.65633026490223845</v>
      </c>
      <c r="AT24" s="340" t="e">
        <f t="shared" si="16"/>
        <v>#N/A</v>
      </c>
      <c r="AU24" s="340"/>
      <c r="AV24" s="315" t="e">
        <f>[9]QG!X6</f>
        <v>#N/A</v>
      </c>
      <c r="AW24" s="315" t="e">
        <f>[9]QG!Y6</f>
        <v>#N/A</v>
      </c>
      <c r="AX24" s="315" t="e">
        <f>[9]QG!Z6</f>
        <v>#N/A</v>
      </c>
      <c r="AY24" s="315" t="e">
        <f>[9]QG!AA6</f>
        <v>#N/A</v>
      </c>
      <c r="AZ24" s="315"/>
      <c r="BA24" s="438">
        <f>[9]QG!AB6</f>
        <v>0</v>
      </c>
      <c r="BB24" s="384">
        <f>[9]QG!AC6</f>
        <v>0</v>
      </c>
    </row>
    <row r="25" spans="1:55" ht="15" customHeight="1" x14ac:dyDescent="0.3">
      <c r="A25" s="205" t="s">
        <v>102</v>
      </c>
      <c r="B25" s="207"/>
      <c r="C25" s="208">
        <f t="shared" si="8"/>
        <v>19.213823090376113</v>
      </c>
      <c r="D25" s="208">
        <f t="shared" si="8"/>
        <v>4.8619244729749989</v>
      </c>
      <c r="E25" s="208">
        <f t="shared" si="8"/>
        <v>5.1445674601790392</v>
      </c>
      <c r="F25" s="206">
        <f t="shared" si="8"/>
        <v>2.1681573591840309</v>
      </c>
      <c r="G25" s="206">
        <f t="shared" si="8"/>
        <v>3.4561388311888042</v>
      </c>
      <c r="H25" s="206" t="e">
        <f t="shared" si="8"/>
        <v>#N/A</v>
      </c>
      <c r="I25" s="206" t="e">
        <f t="shared" si="8"/>
        <v>#N/A</v>
      </c>
      <c r="J25" s="208"/>
      <c r="K25" s="208"/>
      <c r="L25" s="208"/>
      <c r="M25" s="208"/>
      <c r="N25" s="208"/>
      <c r="O25" s="208">
        <v>3.4778462689697198</v>
      </c>
      <c r="P25" s="208"/>
      <c r="Q25" s="208">
        <v>6.415758187337306</v>
      </c>
      <c r="R25" s="263">
        <f t="shared" si="9"/>
        <v>4.101044908784135</v>
      </c>
      <c r="S25" s="263">
        <f t="shared" si="9"/>
        <v>12.784978111405998</v>
      </c>
      <c r="T25" s="263">
        <f t="shared" si="9"/>
        <v>21.553555993861128</v>
      </c>
      <c r="U25" s="208"/>
      <c r="V25" s="180">
        <f t="shared" si="10"/>
        <v>22.189833473533206</v>
      </c>
      <c r="W25" s="180">
        <f t="shared" si="10"/>
        <v>20.387542912740454</v>
      </c>
      <c r="X25" s="180">
        <f t="shared" si="10"/>
        <v>9.0606605565668907</v>
      </c>
      <c r="Y25" s="180">
        <f t="shared" si="10"/>
        <v>4.1557124935991618</v>
      </c>
      <c r="Z25" s="208"/>
      <c r="AA25" s="180">
        <f t="shared" si="11"/>
        <v>1.7039054478853455</v>
      </c>
      <c r="AB25" s="180">
        <f t="shared" si="11"/>
        <v>4.8199322153618107</v>
      </c>
      <c r="AC25" s="180">
        <f t="shared" si="11"/>
        <v>5.4185507698102375</v>
      </c>
      <c r="AD25" s="180">
        <f t="shared" si="11"/>
        <v>5.3705942312229471</v>
      </c>
      <c r="AE25" s="208"/>
      <c r="AF25" s="180">
        <f t="shared" si="12"/>
        <v>6.0607138891043189</v>
      </c>
      <c r="AG25" s="180">
        <f t="shared" si="12"/>
        <v>3.7684531684239353</v>
      </c>
      <c r="AH25" s="180">
        <f t="shared" si="12"/>
        <v>0.67803454311585742</v>
      </c>
      <c r="AI25" s="180">
        <f t="shared" si="12"/>
        <v>1.4722312713837837</v>
      </c>
      <c r="AJ25" s="208"/>
      <c r="AK25" s="180">
        <f t="shared" si="13"/>
        <v>3.2489925065876779</v>
      </c>
      <c r="AL25" s="180">
        <f t="shared" si="13"/>
        <v>3.2392972175723456</v>
      </c>
      <c r="AM25" s="180"/>
      <c r="AN25" s="180">
        <f t="shared" si="14"/>
        <v>6.9360982446356356</v>
      </c>
      <c r="AO25" s="180">
        <f t="shared" si="14"/>
        <v>4.865021726649843</v>
      </c>
      <c r="AP25" s="331"/>
      <c r="AQ25" s="180">
        <f t="shared" si="15"/>
        <v>0.92261375783040389</v>
      </c>
      <c r="AR25" s="180">
        <f t="shared" si="15"/>
        <v>1.2853860952096507</v>
      </c>
      <c r="AS25" s="180">
        <f t="shared" si="16"/>
        <v>0.61503303355421313</v>
      </c>
      <c r="AT25" s="340" t="e">
        <f t="shared" si="16"/>
        <v>#N/A</v>
      </c>
      <c r="AU25" s="340"/>
      <c r="AV25" s="315" t="e">
        <f>[9]QG!X7</f>
        <v>#N/A</v>
      </c>
      <c r="AW25" s="315" t="e">
        <f>[9]QG!Y7</f>
        <v>#N/A</v>
      </c>
      <c r="AX25" s="315" t="e">
        <f>[9]QG!Z7</f>
        <v>#N/A</v>
      </c>
      <c r="AY25" s="315" t="e">
        <f>[9]QG!AA7</f>
        <v>#N/A</v>
      </c>
      <c r="AZ25" s="315"/>
      <c r="BA25" s="438">
        <f>[9]QG!AB7</f>
        <v>0</v>
      </c>
      <c r="BB25" s="384">
        <f>[9]QG!AC7</f>
        <v>0</v>
      </c>
    </row>
    <row r="26" spans="1:55" s="212" customFormat="1" ht="15" customHeight="1" x14ac:dyDescent="0.2">
      <c r="A26" s="209" t="s">
        <v>103</v>
      </c>
      <c r="B26" s="210"/>
      <c r="C26" s="211">
        <f t="shared" si="8"/>
        <v>10.733474906285846</v>
      </c>
      <c r="D26" s="211">
        <f t="shared" si="8"/>
        <v>4.2674210079631347</v>
      </c>
      <c r="E26" s="211">
        <f t="shared" si="8"/>
        <v>5.819202833282433</v>
      </c>
      <c r="F26" s="211">
        <f t="shared" si="8"/>
        <v>1.7431404676954143</v>
      </c>
      <c r="G26" s="211">
        <f t="shared" si="8"/>
        <v>-1.8049526703641683</v>
      </c>
      <c r="H26" s="211" t="e">
        <f t="shared" si="8"/>
        <v>#N/A</v>
      </c>
      <c r="I26" s="211" t="e">
        <f t="shared" si="8"/>
        <v>#N/A</v>
      </c>
      <c r="J26" s="211"/>
      <c r="K26" s="211"/>
      <c r="L26" s="211"/>
      <c r="M26" s="211"/>
      <c r="N26" s="211"/>
      <c r="O26" s="211">
        <v>7.7767954171574338</v>
      </c>
      <c r="P26" s="211"/>
      <c r="Q26" s="211">
        <v>7.2153773738556914</v>
      </c>
      <c r="R26" s="187">
        <f t="shared" si="9"/>
        <v>9.8034311899746882</v>
      </c>
      <c r="S26" s="187">
        <f t="shared" si="9"/>
        <v>11.167030572885771</v>
      </c>
      <c r="T26" s="187">
        <f t="shared" si="9"/>
        <v>13.974657404901315</v>
      </c>
      <c r="U26" s="211"/>
      <c r="V26" s="186">
        <f t="shared" si="10"/>
        <v>11.213947130053526</v>
      </c>
      <c r="W26" s="186">
        <f t="shared" si="10"/>
        <v>6.6203563163710566</v>
      </c>
      <c r="X26" s="186">
        <f t="shared" si="10"/>
        <v>4.6520380862305144</v>
      </c>
      <c r="Y26" s="186">
        <f t="shared" si="10"/>
        <v>-2.8452433795437604</v>
      </c>
      <c r="Z26" s="211"/>
      <c r="AA26" s="186">
        <f t="shared" si="11"/>
        <v>4.1380001723218207</v>
      </c>
      <c r="AB26" s="186">
        <f t="shared" si="11"/>
        <v>11.611482031125986</v>
      </c>
      <c r="AC26" s="186">
        <f t="shared" si="11"/>
        <v>9.9613644083663466</v>
      </c>
      <c r="AD26" s="186">
        <f t="shared" si="11"/>
        <v>7.2919349369204411</v>
      </c>
      <c r="AE26" s="211"/>
      <c r="AF26" s="186">
        <f t="shared" si="12"/>
        <v>4.7885578973362541</v>
      </c>
      <c r="AG26" s="186">
        <f t="shared" si="12"/>
        <v>1.6852533098975497</v>
      </c>
      <c r="AH26" s="186">
        <f t="shared" si="12"/>
        <v>2.3528267310981787</v>
      </c>
      <c r="AI26" s="186">
        <f t="shared" si="12"/>
        <v>2.7935193923467772</v>
      </c>
      <c r="AJ26" s="211"/>
      <c r="AK26" s="186">
        <f t="shared" si="13"/>
        <v>1.1498120525655464</v>
      </c>
      <c r="AL26" s="186">
        <f t="shared" si="13"/>
        <v>0.707077917918153</v>
      </c>
      <c r="AM26" s="186"/>
      <c r="AN26" s="186">
        <f t="shared" si="14"/>
        <v>-1.7326133849520531</v>
      </c>
      <c r="AO26" s="186">
        <f t="shared" si="14"/>
        <v>-1.5189403811701974</v>
      </c>
      <c r="AP26" s="211"/>
      <c r="AQ26" s="186">
        <f t="shared" si="15"/>
        <v>-2.0978084474897685</v>
      </c>
      <c r="AR26" s="186">
        <f t="shared" si="15"/>
        <v>-1.8697651742240695</v>
      </c>
      <c r="AS26" s="186">
        <f t="shared" si="16"/>
        <v>-0.15200904328614984</v>
      </c>
      <c r="AT26" s="186" t="e">
        <f t="shared" si="16"/>
        <v>#N/A</v>
      </c>
      <c r="AU26" s="186"/>
      <c r="AV26" s="186" t="e">
        <f>[9]QG!X$8</f>
        <v>#N/A</v>
      </c>
      <c r="AW26" s="186" t="e">
        <f>[9]QG!Y$8</f>
        <v>#N/A</v>
      </c>
      <c r="AX26" s="186" t="e">
        <f>[9]QG!Z$8</f>
        <v>#N/A</v>
      </c>
      <c r="AY26" s="186" t="e">
        <f>[9]QG!AA$8</f>
        <v>#N/A</v>
      </c>
      <c r="AZ26" s="186"/>
      <c r="BA26" s="187">
        <f>[9]QG!AB$8</f>
        <v>0</v>
      </c>
      <c r="BB26" s="386">
        <f>[9]QG!AC$8</f>
        <v>0</v>
      </c>
    </row>
    <row r="27" spans="1:55" ht="20.100000000000001" customHeight="1" x14ac:dyDescent="0.3">
      <c r="A27" s="254" t="s">
        <v>109</v>
      </c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84"/>
      <c r="AL27"/>
      <c r="AM27"/>
      <c r="AN27"/>
      <c r="AO27" s="204"/>
      <c r="AP27" s="204"/>
      <c r="AQ27" s="204"/>
      <c r="AR27" s="204"/>
      <c r="AS27" s="204"/>
      <c r="AT27" s="204"/>
      <c r="AU27" s="204"/>
      <c r="AV27" s="204"/>
      <c r="BC27"/>
    </row>
    <row r="28" spans="1:55" ht="19.2" x14ac:dyDescent="0.3">
      <c r="A28" s="292" t="s">
        <v>35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84"/>
      <c r="BC28" s="215" t="s">
        <v>110</v>
      </c>
    </row>
  </sheetData>
  <mergeCells count="1">
    <mergeCell ref="A1:BB1"/>
  </mergeCells>
  <phoneticPr fontId="2" type="noConversion"/>
  <printOptions gridLinesSet="0"/>
  <pageMargins left="2.4409000000000001" right="0.59050000000000002" top="0.59050000000000002" bottom="1.9684999999999999" header="0.5" footer="0.5"/>
  <pageSetup paperSize="9" orientation="landscape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L6" transitionEvaluation="1">
    <tabColor rgb="FF92D050"/>
  </sheetPr>
  <dimension ref="A1:EY52"/>
  <sheetViews>
    <sheetView showGridLines="0" showOutlineSymbols="0" zoomScaleNormal="100" zoomScaleSheetLayoutView="100" workbookViewId="0">
      <pane xSplit="48" ySplit="5" topLeftCell="CL6" activePane="bottomRight" state="frozen"/>
      <selection pane="topRight" activeCell="AW1" sqref="AW1"/>
      <selection pane="bottomLeft" activeCell="A6" sqref="A6"/>
      <selection pane="bottomRight" activeCell="EX6" sqref="EX6"/>
    </sheetView>
  </sheetViews>
  <sheetFormatPr defaultColWidth="9" defaultRowHeight="10.199999999999999" outlineLevelCol="1" x14ac:dyDescent="0.2"/>
  <cols>
    <col min="1" max="1" width="25" style="156" customWidth="1"/>
    <col min="2" max="2" width="7.6640625" style="156" hidden="1" customWidth="1" outlineLevel="1"/>
    <col min="3" max="3" width="8" style="156" hidden="1" customWidth="1" outlineLevel="1"/>
    <col min="4" max="4" width="7.6640625" style="156" hidden="1" customWidth="1" outlineLevel="1" collapsed="1"/>
    <col min="5" max="7" width="8" style="156" hidden="1" customWidth="1" outlineLevel="1" collapsed="1"/>
    <col min="8" max="8" width="7.1640625" style="156" hidden="1" customWidth="1" collapsed="1"/>
    <col min="9" max="9" width="6.83203125" style="156" hidden="1" customWidth="1"/>
    <col min="10" max="11" width="7.1640625" style="156" hidden="1" customWidth="1"/>
    <col min="12" max="12" width="7.83203125" style="156" hidden="1" customWidth="1"/>
    <col min="13" max="15" width="7.6640625" style="156" hidden="1" customWidth="1" outlineLevel="1"/>
    <col min="16" max="16" width="1.83203125" style="156" hidden="1" customWidth="1" outlineLevel="1"/>
    <col min="17" max="17" width="7.6640625" style="156" hidden="1" customWidth="1" outlineLevel="1" collapsed="1"/>
    <col min="18" max="20" width="7.6640625" style="156" hidden="1" customWidth="1" outlineLevel="1"/>
    <col min="21" max="21" width="2" style="156" hidden="1" customWidth="1" outlineLevel="1"/>
    <col min="22" max="23" width="7.83203125" style="156" hidden="1" customWidth="1" outlineLevel="1"/>
    <col min="24" max="24" width="7.83203125" style="157" hidden="1" customWidth="1" outlineLevel="1"/>
    <col min="25" max="25" width="7.83203125" style="156" hidden="1" customWidth="1" outlineLevel="1"/>
    <col min="26" max="26" width="1.83203125" style="156" hidden="1" customWidth="1" outlineLevel="1"/>
    <col min="27" max="28" width="7.83203125" style="156" hidden="1" customWidth="1" outlineLevel="1"/>
    <col min="29" max="30" width="7.6640625" style="156" hidden="1" customWidth="1" outlineLevel="1"/>
    <col min="31" max="31" width="3.1640625" style="156" hidden="1" customWidth="1" outlineLevel="1"/>
    <col min="32" max="34" width="7.6640625" style="156" hidden="1" customWidth="1" outlineLevel="1"/>
    <col min="35" max="35" width="7.1640625" style="156" hidden="1" customWidth="1" outlineLevel="1"/>
    <col min="36" max="36" width="7.1640625" style="156" hidden="1" customWidth="1" outlineLevel="1" collapsed="1"/>
    <col min="37" max="39" width="7.6640625" style="156" hidden="1" customWidth="1" outlineLevel="1"/>
    <col min="40" max="40" width="8.1640625" style="156" hidden="1" customWidth="1" outlineLevel="1"/>
    <col min="41" max="41" width="2" style="156" hidden="1" customWidth="1" outlineLevel="1" collapsed="1"/>
    <col min="42" max="42" width="7.6640625" style="156" hidden="1" customWidth="1" outlineLevel="1" collapsed="1"/>
    <col min="43" max="43" width="7.6640625" style="156" hidden="1" customWidth="1" outlineLevel="1"/>
    <col min="44" max="45" width="7.6640625" hidden="1" customWidth="1" outlineLevel="1"/>
    <col min="46" max="46" width="7.6640625" hidden="1" customWidth="1" collapsed="1"/>
    <col min="47" max="48" width="8.6640625" hidden="1" customWidth="1"/>
    <col min="49" max="52" width="7.6640625" hidden="1" customWidth="1"/>
    <col min="53" max="54" width="7.1640625" hidden="1" customWidth="1" outlineLevel="1"/>
    <col min="55" max="55" width="6.6640625" hidden="1" customWidth="1" outlineLevel="1" collapsed="1"/>
    <col min="56" max="56" width="7.6640625" hidden="1" customWidth="1" outlineLevel="1"/>
    <col min="57" max="57" width="2.33203125" hidden="1" customWidth="1" outlineLevel="1"/>
    <col min="58" max="58" width="7.6640625" hidden="1" customWidth="1" outlineLevel="1" collapsed="1"/>
    <col min="59" max="61" width="7.6640625" hidden="1" customWidth="1" outlineLevel="1"/>
    <col min="62" max="62" width="2" hidden="1" customWidth="1" outlineLevel="1"/>
    <col min="63" max="63" width="6.83203125" hidden="1" customWidth="1" outlineLevel="1"/>
    <col min="64" max="64" width="7.83203125" hidden="1" customWidth="1" outlineLevel="1"/>
    <col min="65" max="66" width="6.83203125" hidden="1" customWidth="1" outlineLevel="1"/>
    <col min="67" max="67" width="2" hidden="1" customWidth="1" outlineLevel="1"/>
    <col min="68" max="69" width="6.83203125" hidden="1" customWidth="1" outlineLevel="1"/>
    <col min="70" max="71" width="7.1640625" hidden="1" customWidth="1" outlineLevel="1"/>
    <col min="72" max="72" width="6.83203125" hidden="1" customWidth="1" collapsed="1"/>
    <col min="73" max="76" width="7.1640625" style="156" hidden="1" customWidth="1"/>
    <col min="77" max="77" width="2" style="156" hidden="1" customWidth="1"/>
    <col min="78" max="80" width="7.1640625" style="156" hidden="1" customWidth="1"/>
    <col min="81" max="81" width="7.1640625" style="509" hidden="1" customWidth="1"/>
    <col min="82" max="82" width="0.1640625" style="509" hidden="1" customWidth="1"/>
    <col min="83" max="83" width="7.83203125" style="509" hidden="1" customWidth="1"/>
    <col min="84" max="87" width="7.83203125" style="156" hidden="1" customWidth="1"/>
    <col min="88" max="88" width="7.33203125" style="156" hidden="1" customWidth="1"/>
    <col min="89" max="89" width="8.1640625" style="156" hidden="1" customWidth="1"/>
    <col min="90" max="91" width="7.6640625" style="156" customWidth="1"/>
    <col min="92" max="93" width="7.33203125" style="156" hidden="1" customWidth="1"/>
    <col min="94" max="94" width="7.33203125" style="157" hidden="1" customWidth="1"/>
    <col min="95" max="95" width="8" style="157" hidden="1" customWidth="1"/>
    <col min="96" max="96" width="1.33203125" style="157" hidden="1" customWidth="1"/>
    <col min="97" max="100" width="8" style="157" hidden="1" customWidth="1"/>
    <col min="101" max="101" width="7.33203125" style="157" customWidth="1"/>
    <col min="102" max="104" width="7.1640625" style="157" customWidth="1"/>
    <col min="105" max="105" width="7.33203125" style="157" customWidth="1"/>
    <col min="106" max="107" width="8" style="157" hidden="1" customWidth="1"/>
    <col min="108" max="108" width="7.83203125" style="157" hidden="1" customWidth="1"/>
    <col min="109" max="109" width="5.33203125" style="157" hidden="1" customWidth="1"/>
    <col min="110" max="110" width="1.33203125" style="157" hidden="1" customWidth="1"/>
    <col min="111" max="114" width="8.1640625" style="156" hidden="1" customWidth="1"/>
    <col min="115" max="115" width="0.6640625" style="157" hidden="1" customWidth="1"/>
    <col min="116" max="119" width="8.1640625" style="156" hidden="1" customWidth="1"/>
    <col min="120" max="120" width="0.6640625" style="156" hidden="1" customWidth="1"/>
    <col min="121" max="122" width="8.1640625" style="156" hidden="1" customWidth="1"/>
    <col min="123" max="123" width="8.83203125" style="156" hidden="1" customWidth="1"/>
    <col min="124" max="124" width="7.83203125" style="157" hidden="1" customWidth="1"/>
    <col min="125" max="125" width="1.1640625" style="157" hidden="1" customWidth="1"/>
    <col min="126" max="126" width="8.83203125" style="156" hidden="1" customWidth="1"/>
    <col min="127" max="127" width="8.33203125" style="156" hidden="1" customWidth="1"/>
    <col min="128" max="129" width="8" style="156" hidden="1" customWidth="1"/>
    <col min="130" max="130" width="1.1640625" style="156" hidden="1" customWidth="1"/>
    <col min="131" max="133" width="7.33203125" style="156" hidden="1" customWidth="1"/>
    <col min="134" max="134" width="7.6640625" style="156" hidden="1" customWidth="1"/>
    <col min="135" max="135" width="0.33203125" style="157" hidden="1" customWidth="1"/>
    <col min="136" max="136" width="1.6640625" style="157" customWidth="1"/>
    <col min="137" max="138" width="7.33203125" style="156" customWidth="1"/>
    <col min="139" max="139" width="7.6640625" style="156" customWidth="1"/>
    <col min="140" max="140" width="7.6640625" style="157" customWidth="1"/>
    <col min="141" max="141" width="1.6640625" style="157" customWidth="1"/>
    <col min="142" max="142" width="7.6640625" style="156" customWidth="1"/>
    <col min="143" max="144" width="8.1640625" style="156" customWidth="1"/>
    <col min="145" max="145" width="8.1640625" style="157" customWidth="1"/>
    <col min="146" max="146" width="1.6640625" style="157" customWidth="1"/>
    <col min="147" max="150" width="8.1640625" style="156" customWidth="1"/>
    <col min="151" max="151" width="1.6640625" style="157" customWidth="1"/>
    <col min="152" max="152" width="8.1640625" style="156" customWidth="1"/>
    <col min="153" max="153" width="7.83203125" style="156" customWidth="1"/>
    <col min="154" max="16384" width="9" style="156"/>
  </cols>
  <sheetData>
    <row r="1" spans="1:154" ht="13.8" x14ac:dyDescent="0.25">
      <c r="A1" s="851" t="s">
        <v>120</v>
      </c>
      <c r="B1" s="851"/>
      <c r="C1" s="851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851"/>
      <c r="AO1" s="851"/>
      <c r="AP1" s="851"/>
      <c r="AQ1" s="851"/>
      <c r="AR1" s="851"/>
      <c r="AS1" s="851"/>
      <c r="AT1" s="851"/>
      <c r="AU1" s="851"/>
      <c r="AV1" s="851"/>
      <c r="AW1" s="851"/>
      <c r="AX1" s="851"/>
      <c r="AY1" s="851"/>
      <c r="AZ1" s="851"/>
      <c r="BA1" s="851"/>
      <c r="BB1" s="851"/>
      <c r="BC1" s="851"/>
      <c r="BD1" s="851"/>
      <c r="BE1" s="851"/>
      <c r="BF1" s="851"/>
      <c r="BG1" s="851"/>
      <c r="BH1" s="851"/>
      <c r="BI1" s="851"/>
      <c r="BJ1" s="851"/>
      <c r="BK1" s="851"/>
      <c r="BL1" s="851"/>
      <c r="BM1" s="851"/>
      <c r="BN1" s="851"/>
      <c r="BO1" s="851"/>
      <c r="BP1" s="851"/>
      <c r="BQ1" s="851"/>
      <c r="BR1" s="851"/>
      <c r="BS1" s="851"/>
      <c r="BT1" s="851"/>
      <c r="BU1" s="851"/>
      <c r="BV1" s="851"/>
      <c r="BW1" s="851"/>
      <c r="BX1" s="851"/>
      <c r="BY1" s="851"/>
      <c r="BZ1" s="851"/>
      <c r="CA1" s="851"/>
      <c r="CB1" s="851"/>
      <c r="CC1" s="851"/>
      <c r="CD1" s="851"/>
      <c r="CE1" s="851"/>
      <c r="CF1" s="851"/>
      <c r="CG1" s="851"/>
      <c r="CH1" s="851"/>
      <c r="CI1" s="851"/>
      <c r="CJ1" s="851"/>
      <c r="CK1" s="851"/>
      <c r="CL1" s="851"/>
      <c r="CM1" s="851"/>
      <c r="CN1" s="851"/>
      <c r="CO1" s="851"/>
      <c r="CP1" s="851"/>
      <c r="CQ1" s="851"/>
      <c r="CR1" s="851"/>
      <c r="CS1" s="851"/>
      <c r="CT1" s="851"/>
      <c r="CU1" s="851"/>
      <c r="CV1" s="851"/>
      <c r="CW1" s="851"/>
      <c r="CX1" s="851"/>
      <c r="CY1" s="851"/>
      <c r="CZ1" s="851"/>
      <c r="DA1" s="851"/>
      <c r="DB1" s="851"/>
      <c r="DC1" s="851"/>
      <c r="DD1" s="851"/>
      <c r="DE1" s="851"/>
      <c r="DF1" s="851"/>
      <c r="DG1" s="851"/>
      <c r="DH1" s="851"/>
      <c r="DI1" s="851"/>
      <c r="DJ1" s="851"/>
      <c r="DK1" s="851"/>
      <c r="DL1" s="851"/>
      <c r="DM1" s="851"/>
      <c r="DN1" s="851"/>
      <c r="DO1" s="851"/>
      <c r="DP1" s="851"/>
      <c r="DQ1" s="851"/>
      <c r="DR1" s="851"/>
      <c r="DS1" s="851"/>
      <c r="DT1" s="851"/>
      <c r="DU1" s="851"/>
      <c r="DV1" s="851"/>
      <c r="DW1" s="851"/>
      <c r="DX1" s="851"/>
      <c r="DY1" s="851"/>
      <c r="DZ1" s="851"/>
      <c r="EA1" s="851"/>
      <c r="EB1" s="851"/>
      <c r="EC1" s="851"/>
      <c r="ED1" s="851"/>
      <c r="EE1" s="851"/>
      <c r="EF1" s="851"/>
      <c r="EG1" s="851"/>
      <c r="EH1" s="851"/>
      <c r="EI1" s="851"/>
      <c r="EJ1" s="851"/>
      <c r="EK1" s="851"/>
      <c r="EL1" s="851"/>
      <c r="EM1" s="851"/>
      <c r="EN1" s="851"/>
      <c r="EO1" s="851"/>
      <c r="EP1" s="851"/>
      <c r="EQ1" s="851"/>
      <c r="ER1" s="851"/>
      <c r="ES1" s="851"/>
      <c r="ET1" s="851"/>
      <c r="EU1" s="851"/>
      <c r="EV1" s="851"/>
      <c r="EW1" s="851"/>
      <c r="EX1" s="851"/>
    </row>
    <row r="2" spans="1:154" x14ac:dyDescent="0.2">
      <c r="A2" s="511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511"/>
      <c r="W2" s="511"/>
      <c r="X2" s="511"/>
      <c r="Y2" s="616"/>
      <c r="Z2" s="616"/>
      <c r="AA2" s="616"/>
      <c r="AB2" s="616"/>
      <c r="AC2" s="616"/>
      <c r="AD2" s="616"/>
      <c r="AE2" s="616"/>
      <c r="AF2" s="511"/>
      <c r="AG2" s="511"/>
      <c r="AH2" s="511"/>
      <c r="AI2" s="511"/>
      <c r="AJ2" s="616"/>
      <c r="AK2" s="511"/>
      <c r="AL2" s="511"/>
      <c r="AM2" s="511"/>
      <c r="AN2" s="511"/>
      <c r="AO2" s="511"/>
      <c r="AP2" s="511"/>
      <c r="AQ2" s="511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1"/>
      <c r="BV2" s="511"/>
      <c r="BW2" s="511"/>
      <c r="BX2" s="511"/>
      <c r="BY2" s="511"/>
      <c r="BZ2" s="511"/>
      <c r="CA2" s="511"/>
      <c r="CB2" s="511"/>
      <c r="CC2" s="511"/>
      <c r="CD2" s="511"/>
      <c r="CE2" s="511"/>
      <c r="CF2" s="157"/>
      <c r="CG2" s="157"/>
      <c r="CH2" s="157"/>
      <c r="CI2" s="157"/>
      <c r="CJ2" s="157"/>
      <c r="CN2" s="372"/>
      <c r="CO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157"/>
      <c r="DP2" s="157"/>
      <c r="DQ2" s="372"/>
      <c r="DT2" s="372"/>
      <c r="DU2" s="372"/>
      <c r="DV2" s="372"/>
      <c r="DW2" s="372"/>
      <c r="DX2" s="372"/>
      <c r="DY2" s="372"/>
      <c r="DZ2" s="372"/>
      <c r="EA2" s="372"/>
      <c r="EV2" s="509"/>
    </row>
    <row r="3" spans="1:154" s="177" customFormat="1" x14ac:dyDescent="0.2">
      <c r="A3" s="515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7">
        <v>1990</v>
      </c>
      <c r="N3" s="518"/>
      <c r="O3" s="519"/>
      <c r="P3" s="516"/>
      <c r="Q3" s="519">
        <v>1991</v>
      </c>
      <c r="R3" s="520"/>
      <c r="S3" s="517"/>
      <c r="T3" s="519"/>
      <c r="U3" s="516"/>
      <c r="V3" s="519"/>
      <c r="W3" s="521"/>
      <c r="X3" s="519">
        <v>1992</v>
      </c>
      <c r="Y3" s="519"/>
      <c r="Z3" s="519"/>
      <c r="AA3" s="522"/>
      <c r="AB3" s="521"/>
      <c r="AC3" s="519">
        <v>1993</v>
      </c>
      <c r="AD3" s="517"/>
      <c r="AE3" s="519"/>
      <c r="AF3" s="523"/>
      <c r="AG3" s="519"/>
      <c r="AH3" s="524">
        <v>1994</v>
      </c>
      <c r="AI3" s="524"/>
      <c r="AJ3" s="519"/>
      <c r="AK3" s="519">
        <v>1995</v>
      </c>
      <c r="AL3" s="525"/>
      <c r="AM3" s="519"/>
      <c r="AN3" s="524"/>
      <c r="AO3" s="519"/>
      <c r="AP3" s="843">
        <v>1996</v>
      </c>
      <c r="AQ3" s="843"/>
      <c r="AR3" s="843"/>
      <c r="AS3" s="843"/>
      <c r="AT3" s="636"/>
      <c r="AU3" s="543"/>
      <c r="AV3" s="543"/>
      <c r="AW3" s="543"/>
      <c r="AX3" s="543"/>
      <c r="AY3" s="543"/>
      <c r="AZ3" s="543"/>
      <c r="BA3" s="839">
        <v>1997</v>
      </c>
      <c r="BB3" s="839"/>
      <c r="BC3" s="839"/>
      <c r="BD3" s="839"/>
      <c r="BE3" s="528"/>
      <c r="BF3" s="839">
        <v>1998</v>
      </c>
      <c r="BG3" s="839"/>
      <c r="BH3" s="839"/>
      <c r="BI3" s="839"/>
      <c r="BJ3" s="528"/>
      <c r="BK3" s="839">
        <v>1999</v>
      </c>
      <c r="BL3" s="839"/>
      <c r="BM3" s="839"/>
      <c r="BN3" s="839"/>
      <c r="BO3" s="528"/>
      <c r="BP3" s="839">
        <v>2000</v>
      </c>
      <c r="BQ3" s="839"/>
      <c r="BR3" s="839"/>
      <c r="BS3" s="839"/>
      <c r="BT3" s="528"/>
      <c r="BU3" s="839">
        <v>2001</v>
      </c>
      <c r="BV3" s="840"/>
      <c r="BW3" s="840"/>
      <c r="BX3" s="840"/>
      <c r="BY3" s="583"/>
      <c r="BZ3" s="841">
        <v>2002</v>
      </c>
      <c r="CA3" s="841"/>
      <c r="CB3" s="841"/>
      <c r="CC3" s="841"/>
      <c r="CD3" s="600"/>
      <c r="CE3" s="841">
        <v>2003</v>
      </c>
      <c r="CF3" s="841"/>
      <c r="CG3" s="841"/>
      <c r="CH3" s="841"/>
      <c r="CI3" s="600"/>
      <c r="CJ3" s="600"/>
      <c r="CK3" s="621"/>
      <c r="CL3" s="621"/>
      <c r="CM3" s="621"/>
      <c r="CN3" s="648">
        <v>2007</v>
      </c>
      <c r="CO3" s="634"/>
      <c r="CP3" s="634"/>
      <c r="CQ3" s="635">
        <v>2007</v>
      </c>
      <c r="CR3" s="625"/>
      <c r="CS3" s="853">
        <v>2008</v>
      </c>
      <c r="CT3" s="853"/>
      <c r="CU3" s="853"/>
      <c r="CV3" s="853"/>
      <c r="CW3" s="621"/>
      <c r="CX3" s="621"/>
      <c r="CY3" s="625"/>
      <c r="CZ3" s="625"/>
      <c r="DA3" s="625"/>
      <c r="DC3" s="853">
        <v>2009</v>
      </c>
      <c r="DD3" s="853"/>
      <c r="DE3" s="853"/>
      <c r="DF3" s="621"/>
      <c r="DG3" s="853">
        <v>2010</v>
      </c>
      <c r="DH3" s="854"/>
      <c r="DI3" s="854"/>
      <c r="DJ3" s="854"/>
      <c r="DK3" s="621"/>
      <c r="DL3" s="852">
        <v>2011</v>
      </c>
      <c r="DM3" s="852"/>
      <c r="DN3" s="852"/>
      <c r="DO3" s="852"/>
      <c r="DP3" s="643"/>
      <c r="DQ3" s="863">
        <v>2012</v>
      </c>
      <c r="DR3" s="864"/>
      <c r="DS3" s="864"/>
      <c r="DT3" s="864"/>
      <c r="DU3" s="621"/>
      <c r="DV3" s="850">
        <v>2013</v>
      </c>
      <c r="DW3" s="850"/>
      <c r="DX3" s="850"/>
      <c r="DY3" s="850"/>
      <c r="DZ3" s="659"/>
      <c r="EA3" s="850">
        <v>2014</v>
      </c>
      <c r="EB3" s="850"/>
      <c r="EC3" s="850"/>
      <c r="ED3" s="850"/>
      <c r="EE3" s="159"/>
      <c r="EF3" s="159"/>
      <c r="EG3" s="850">
        <v>2015</v>
      </c>
      <c r="EH3" s="850"/>
      <c r="EI3" s="850"/>
      <c r="EJ3" s="850"/>
      <c r="EK3" s="159"/>
      <c r="EL3" s="850">
        <v>2016</v>
      </c>
      <c r="EM3" s="850"/>
      <c r="EN3" s="850"/>
      <c r="EO3" s="850"/>
      <c r="EP3" s="159"/>
      <c r="EQ3" s="850">
        <v>2017</v>
      </c>
      <c r="ER3" s="850"/>
      <c r="ES3" s="850"/>
      <c r="ET3" s="850"/>
      <c r="EU3" s="159"/>
      <c r="EV3" s="865">
        <v>2018</v>
      </c>
      <c r="EW3" s="865"/>
      <c r="EX3" s="866"/>
    </row>
    <row r="4" spans="1:154" x14ac:dyDescent="0.2">
      <c r="A4" s="529" t="s">
        <v>123</v>
      </c>
      <c r="B4" s="611">
        <v>1990</v>
      </c>
      <c r="C4" s="611">
        <v>1991</v>
      </c>
      <c r="D4" s="611">
        <v>1992</v>
      </c>
      <c r="E4" s="611">
        <v>1993</v>
      </c>
      <c r="F4" s="611">
        <v>1994</v>
      </c>
      <c r="G4" s="611">
        <v>1995</v>
      </c>
      <c r="H4" s="611">
        <v>1996</v>
      </c>
      <c r="I4" s="611">
        <v>1997</v>
      </c>
      <c r="J4" s="611">
        <v>1998</v>
      </c>
      <c r="K4" s="611">
        <v>1999</v>
      </c>
      <c r="L4" s="611">
        <v>2000</v>
      </c>
      <c r="M4" s="531" t="s">
        <v>28</v>
      </c>
      <c r="N4" s="531" t="s">
        <v>29</v>
      </c>
      <c r="O4" s="531" t="s">
        <v>30</v>
      </c>
      <c r="P4" s="532"/>
      <c r="Q4" s="531" t="s">
        <v>27</v>
      </c>
      <c r="R4" s="533" t="s">
        <v>28</v>
      </c>
      <c r="S4" s="531" t="s">
        <v>29</v>
      </c>
      <c r="T4" s="531" t="s">
        <v>30</v>
      </c>
      <c r="U4" s="532"/>
      <c r="V4" s="531" t="s">
        <v>27</v>
      </c>
      <c r="W4" s="534" t="s">
        <v>28</v>
      </c>
      <c r="X4" s="535" t="s">
        <v>29</v>
      </c>
      <c r="Y4" s="531" t="s">
        <v>30</v>
      </c>
      <c r="Z4" s="532"/>
      <c r="AA4" s="531" t="s">
        <v>27</v>
      </c>
      <c r="AB4" s="531" t="s">
        <v>28</v>
      </c>
      <c r="AC4" s="531" t="s">
        <v>29</v>
      </c>
      <c r="AD4" s="533" t="s">
        <v>30</v>
      </c>
      <c r="AE4" s="532"/>
      <c r="AF4" s="533" t="s">
        <v>27</v>
      </c>
      <c r="AG4" s="533" t="s">
        <v>28</v>
      </c>
      <c r="AH4" s="533" t="s">
        <v>29</v>
      </c>
      <c r="AI4" s="533" t="s">
        <v>30</v>
      </c>
      <c r="AJ4" s="532"/>
      <c r="AK4" s="533" t="s">
        <v>27</v>
      </c>
      <c r="AL4" s="533" t="s">
        <v>28</v>
      </c>
      <c r="AM4" s="533" t="s">
        <v>29</v>
      </c>
      <c r="AN4" s="533" t="s">
        <v>30</v>
      </c>
      <c r="AO4" s="536"/>
      <c r="AP4" s="533" t="s">
        <v>27</v>
      </c>
      <c r="AQ4" s="533" t="s">
        <v>28</v>
      </c>
      <c r="AR4" s="536" t="s">
        <v>29</v>
      </c>
      <c r="AS4" s="536" t="s">
        <v>30</v>
      </c>
      <c r="AT4" s="637">
        <v>2001</v>
      </c>
      <c r="AU4" s="536">
        <v>2002</v>
      </c>
      <c r="AV4" s="536">
        <v>2003</v>
      </c>
      <c r="AW4" s="536">
        <v>2004</v>
      </c>
      <c r="AX4" s="536">
        <v>2005</v>
      </c>
      <c r="AY4" s="536">
        <v>2006</v>
      </c>
      <c r="AZ4" s="536">
        <v>2007</v>
      </c>
      <c r="BA4" s="536">
        <v>2007</v>
      </c>
      <c r="BB4" s="536">
        <v>2007</v>
      </c>
      <c r="BC4" s="536">
        <v>2007</v>
      </c>
      <c r="BD4" s="536">
        <v>2007</v>
      </c>
      <c r="BE4" s="536">
        <v>2007</v>
      </c>
      <c r="BF4" s="536">
        <v>2007</v>
      </c>
      <c r="BG4" s="536">
        <v>2007</v>
      </c>
      <c r="BH4" s="536">
        <v>2007</v>
      </c>
      <c r="BI4" s="536">
        <v>2007</v>
      </c>
      <c r="BJ4" s="536">
        <v>2007</v>
      </c>
      <c r="BK4" s="536">
        <v>2007</v>
      </c>
      <c r="BL4" s="536">
        <v>2007</v>
      </c>
      <c r="BM4" s="536">
        <v>2007</v>
      </c>
      <c r="BN4" s="536">
        <v>2007</v>
      </c>
      <c r="BO4" s="536">
        <v>2007</v>
      </c>
      <c r="BP4" s="536">
        <v>2007</v>
      </c>
      <c r="BQ4" s="536">
        <v>2007</v>
      </c>
      <c r="BR4" s="536">
        <v>2007</v>
      </c>
      <c r="BS4" s="536">
        <v>2007</v>
      </c>
      <c r="BT4" s="536">
        <v>2007</v>
      </c>
      <c r="BU4" s="536">
        <v>2007</v>
      </c>
      <c r="BV4" s="536">
        <v>2007</v>
      </c>
      <c r="BW4" s="536">
        <v>2007</v>
      </c>
      <c r="BX4" s="536">
        <v>2007</v>
      </c>
      <c r="BY4" s="536">
        <v>2007</v>
      </c>
      <c r="BZ4" s="536">
        <v>2007</v>
      </c>
      <c r="CA4" s="536">
        <v>2007</v>
      </c>
      <c r="CB4" s="536">
        <v>2007</v>
      </c>
      <c r="CC4" s="536">
        <v>2007</v>
      </c>
      <c r="CD4" s="536">
        <v>2007</v>
      </c>
      <c r="CE4" s="536">
        <v>2007</v>
      </c>
      <c r="CF4" s="536">
        <v>2007</v>
      </c>
      <c r="CG4" s="536">
        <v>2007</v>
      </c>
      <c r="CH4" s="536">
        <v>2007</v>
      </c>
      <c r="CI4" s="536">
        <v>2008</v>
      </c>
      <c r="CJ4" s="650">
        <v>40178</v>
      </c>
      <c r="CK4" s="650">
        <f>EOMONTH(CJ4,12)</f>
        <v>40543</v>
      </c>
      <c r="CL4" s="650">
        <f>EOMONTH(CK4,12)</f>
        <v>40908</v>
      </c>
      <c r="CM4" s="650">
        <f>EOMONTH(CL4,12)</f>
        <v>41274</v>
      </c>
      <c r="CN4" s="650">
        <f t="shared" ref="CN4:CV4" si="0">EOMONTH(CM4,12)</f>
        <v>41639</v>
      </c>
      <c r="CO4" s="650">
        <f t="shared" si="0"/>
        <v>42004</v>
      </c>
      <c r="CP4" s="650">
        <f t="shared" si="0"/>
        <v>42369</v>
      </c>
      <c r="CQ4" s="650">
        <f t="shared" si="0"/>
        <v>42735</v>
      </c>
      <c r="CR4" s="650">
        <f t="shared" si="0"/>
        <v>43100</v>
      </c>
      <c r="CS4" s="650">
        <f t="shared" si="0"/>
        <v>43465</v>
      </c>
      <c r="CT4" s="650">
        <f t="shared" si="0"/>
        <v>43830</v>
      </c>
      <c r="CU4" s="650">
        <f t="shared" si="0"/>
        <v>44196</v>
      </c>
      <c r="CV4" s="650">
        <f t="shared" si="0"/>
        <v>44561</v>
      </c>
      <c r="CW4" s="650">
        <f>EOMONTH(CM4,12)</f>
        <v>41639</v>
      </c>
      <c r="CX4" s="650">
        <f>EOMONTH(CN4,12)</f>
        <v>42004</v>
      </c>
      <c r="CY4" s="650">
        <f>EOMONTH(CO4,12)</f>
        <v>42369</v>
      </c>
      <c r="CZ4" s="650">
        <f>EOMONTH(CP4,12)</f>
        <v>42735</v>
      </c>
      <c r="DA4" s="650">
        <f>EOMONTH(CQ4,12)</f>
        <v>43100</v>
      </c>
      <c r="DB4" s="651" t="s">
        <v>27</v>
      </c>
      <c r="DC4" s="651" t="s">
        <v>28</v>
      </c>
      <c r="DD4" s="651" t="s">
        <v>29</v>
      </c>
      <c r="DE4" s="651" t="s">
        <v>30</v>
      </c>
      <c r="DF4" s="536"/>
      <c r="DG4" s="651" t="s">
        <v>27</v>
      </c>
      <c r="DH4" s="651" t="s">
        <v>28</v>
      </c>
      <c r="DI4" s="651" t="s">
        <v>29</v>
      </c>
      <c r="DJ4" s="651" t="s">
        <v>30</v>
      </c>
      <c r="DK4" s="651"/>
      <c r="DL4" s="651" t="s">
        <v>27</v>
      </c>
      <c r="DM4" s="651" t="s">
        <v>28</v>
      </c>
      <c r="DN4" s="651" t="s">
        <v>29</v>
      </c>
      <c r="DO4" s="651" t="s">
        <v>30</v>
      </c>
      <c r="DP4" s="651"/>
      <c r="DQ4" s="651" t="s">
        <v>27</v>
      </c>
      <c r="DR4" s="651" t="s">
        <v>28</v>
      </c>
      <c r="DS4" s="651" t="s">
        <v>29</v>
      </c>
      <c r="DT4" s="651" t="s">
        <v>30</v>
      </c>
      <c r="DU4" s="536"/>
      <c r="DV4" s="654" t="s">
        <v>27</v>
      </c>
      <c r="DW4" s="654" t="s">
        <v>28</v>
      </c>
      <c r="DX4" s="654" t="s">
        <v>29</v>
      </c>
      <c r="DY4" s="651" t="s">
        <v>30</v>
      </c>
      <c r="DZ4" s="651"/>
      <c r="EA4" s="651" t="str">
        <f>DV4</f>
        <v>Q1</v>
      </c>
      <c r="EB4" s="651" t="str">
        <f>DW4</f>
        <v>Q2</v>
      </c>
      <c r="EC4" s="651" t="str">
        <f>DX4</f>
        <v>Q3</v>
      </c>
      <c r="ED4" s="651" t="str">
        <f>DY4</f>
        <v>Q4</v>
      </c>
      <c r="EE4" s="651"/>
      <c r="EF4" s="651"/>
      <c r="EG4" s="651" t="str">
        <f>EA4</f>
        <v>Q1</v>
      </c>
      <c r="EH4" s="651" t="str">
        <f>EB4</f>
        <v>Q2</v>
      </c>
      <c r="EI4" s="651" t="str">
        <f>EC4</f>
        <v>Q3</v>
      </c>
      <c r="EJ4" s="651" t="str">
        <f>ED4</f>
        <v>Q4</v>
      </c>
      <c r="EK4" s="651"/>
      <c r="EL4" s="654" t="s">
        <v>27</v>
      </c>
      <c r="EM4" s="654" t="s">
        <v>28</v>
      </c>
      <c r="EN4" s="654" t="s">
        <v>29</v>
      </c>
      <c r="EO4" s="654" t="s">
        <v>30</v>
      </c>
      <c r="EP4" s="651"/>
      <c r="EQ4" s="654" t="s">
        <v>27</v>
      </c>
      <c r="ER4" s="654" t="s">
        <v>28</v>
      </c>
      <c r="ES4" s="654" t="s">
        <v>29</v>
      </c>
      <c r="ET4" s="654" t="s">
        <v>30</v>
      </c>
      <c r="EU4" s="651"/>
      <c r="EV4" s="654" t="s">
        <v>27</v>
      </c>
      <c r="EW4" s="654" t="s">
        <v>28</v>
      </c>
      <c r="EX4" s="678" t="s">
        <v>175</v>
      </c>
    </row>
    <row r="5" spans="1:154" s="177" customFormat="1" x14ac:dyDescent="0.2">
      <c r="A5" s="539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18"/>
      <c r="N5" s="518"/>
      <c r="O5" s="518"/>
      <c r="P5" s="518"/>
      <c r="Q5" s="518"/>
      <c r="R5" s="526"/>
      <c r="S5" s="518"/>
      <c r="T5" s="518"/>
      <c r="U5" s="518"/>
      <c r="V5" s="518"/>
      <c r="W5" s="526"/>
      <c r="X5" s="542"/>
      <c r="Y5" s="518"/>
      <c r="Z5" s="518"/>
      <c r="AA5" s="518"/>
      <c r="AB5" s="518"/>
      <c r="AC5" s="518"/>
      <c r="AD5" s="542"/>
      <c r="AE5" s="518"/>
      <c r="AF5" s="542"/>
      <c r="AG5" s="542"/>
      <c r="AH5" s="542"/>
      <c r="AI5" s="542"/>
      <c r="AJ5" s="518"/>
      <c r="AK5" s="542"/>
      <c r="AL5" s="542"/>
      <c r="AM5" s="542"/>
      <c r="AN5" s="542"/>
      <c r="AO5" s="542"/>
      <c r="AP5" s="542"/>
      <c r="AQ5" s="542"/>
      <c r="AR5" s="526"/>
      <c r="AS5" s="526"/>
      <c r="AT5" s="636"/>
      <c r="AU5" s="543"/>
      <c r="AV5" s="543"/>
      <c r="AW5" s="543"/>
      <c r="AX5" s="543"/>
      <c r="AY5" s="543"/>
      <c r="AZ5" s="543"/>
      <c r="BA5" s="543"/>
      <c r="BB5" s="543"/>
      <c r="BC5" s="543"/>
      <c r="BD5" s="543"/>
      <c r="BE5" s="543"/>
      <c r="BF5" s="543"/>
      <c r="BG5" s="543"/>
      <c r="BH5" s="543"/>
      <c r="BI5" s="543"/>
      <c r="BJ5" s="543"/>
      <c r="BK5" s="543"/>
      <c r="BL5" s="543"/>
      <c r="BM5" s="543"/>
      <c r="BN5" s="543"/>
      <c r="BO5" s="543"/>
      <c r="BP5" s="543"/>
      <c r="BQ5" s="543"/>
      <c r="BR5" s="543"/>
      <c r="BS5" s="543"/>
      <c r="BT5" s="543"/>
      <c r="BU5" s="622"/>
      <c r="BV5" s="622"/>
      <c r="BW5" s="622"/>
      <c r="BX5" s="622"/>
      <c r="BY5" s="622"/>
      <c r="BZ5" s="622"/>
      <c r="CA5" s="622"/>
      <c r="CB5" s="622"/>
      <c r="CC5" s="622"/>
      <c r="CD5" s="622"/>
      <c r="CE5" s="622"/>
      <c r="CF5" s="622"/>
      <c r="CG5" s="622"/>
      <c r="CH5" s="622"/>
      <c r="CI5" s="622"/>
      <c r="CJ5" s="622"/>
      <c r="CK5" s="366"/>
      <c r="CL5" s="366"/>
      <c r="CM5" s="366"/>
      <c r="CN5" s="366"/>
      <c r="CO5" s="366"/>
      <c r="CP5" s="366"/>
      <c r="CQ5" s="495"/>
      <c r="CR5" s="495"/>
      <c r="CS5" s="366"/>
      <c r="CT5" s="366"/>
      <c r="CU5" s="495"/>
      <c r="CV5" s="495"/>
      <c r="CW5" s="495"/>
      <c r="CX5" s="495"/>
      <c r="CY5" s="495"/>
      <c r="CZ5" s="495"/>
      <c r="DA5" s="495"/>
      <c r="DB5" s="495"/>
      <c r="DC5" s="495"/>
      <c r="DD5" s="366"/>
      <c r="DE5" s="366"/>
      <c r="DF5" s="366"/>
      <c r="DG5" s="366"/>
      <c r="DH5" s="495"/>
      <c r="DI5" s="495"/>
      <c r="DJ5" s="495"/>
      <c r="DK5" s="366"/>
      <c r="DL5" s="495"/>
      <c r="DM5" s="495"/>
      <c r="DN5" s="495"/>
      <c r="DO5" s="366"/>
      <c r="DP5" s="366"/>
      <c r="DQ5" s="495"/>
      <c r="DR5" s="366"/>
      <c r="DS5" s="366"/>
      <c r="DT5" s="366"/>
      <c r="DU5" s="366"/>
      <c r="DV5" s="366"/>
      <c r="DW5" s="366"/>
      <c r="DX5" s="366"/>
      <c r="DY5" s="366"/>
      <c r="DZ5" s="366"/>
      <c r="EA5" s="495"/>
      <c r="EB5" s="495"/>
      <c r="EC5" s="366"/>
      <c r="ED5" s="495"/>
      <c r="EE5" s="495"/>
      <c r="EF5" s="495"/>
      <c r="EG5" s="495"/>
      <c r="EH5" s="495"/>
      <c r="EI5" s="495"/>
      <c r="EJ5" s="495"/>
      <c r="EK5" s="495"/>
      <c r="EL5" s="495"/>
      <c r="EM5" s="495"/>
      <c r="EN5" s="495"/>
      <c r="EO5" s="495"/>
      <c r="EP5" s="495"/>
      <c r="EQ5" s="495"/>
      <c r="ER5" s="495"/>
      <c r="ES5" s="495"/>
      <c r="ET5" s="495"/>
      <c r="EU5" s="495"/>
      <c r="EV5" s="622"/>
      <c r="EW5" s="622"/>
      <c r="EX5" s="673"/>
    </row>
    <row r="6" spans="1:154" ht="13.5" customHeight="1" x14ac:dyDescent="0.2">
      <c r="A6" s="551" t="str">
        <f>[10]Database!$B$1</f>
        <v>All items</v>
      </c>
      <c r="B6" s="552">
        <f t="shared" ref="B6:B15" si="1">O6</f>
        <v>86.628991683351288</v>
      </c>
      <c r="C6" s="552">
        <f t="shared" ref="C6:C15" si="2">T6</f>
        <v>92.984108641752613</v>
      </c>
      <c r="D6" s="552">
        <f t="shared" ref="D6:D15" si="3">Y6</f>
        <v>94.680539853554706</v>
      </c>
      <c r="E6" s="552">
        <f t="shared" ref="E6:E15" si="4">AD6</f>
        <v>100.73465941888048</v>
      </c>
      <c r="F6" s="552">
        <f t="shared" ref="F6:F15" si="5">AI6</f>
        <v>65.801484490427953</v>
      </c>
      <c r="G6" s="552">
        <f t="shared" ref="G6:G15" si="6">AN6</f>
        <v>68.214726433246881</v>
      </c>
      <c r="H6" s="552">
        <f t="shared" ref="H6:H15" si="7">AS6</f>
        <v>68.71293663607095</v>
      </c>
      <c r="I6" s="552">
        <f t="shared" ref="I6:I15" si="8">BD6</f>
        <v>70.782726045883948</v>
      </c>
      <c r="J6" s="552">
        <f t="shared" ref="J6:J15" si="9">BI6</f>
        <v>72.941970310391369</v>
      </c>
      <c r="K6" s="552">
        <f t="shared" ref="K6:K15" si="10">BN6</f>
        <v>77.530364372469634</v>
      </c>
      <c r="L6" s="552">
        <f t="shared" ref="L6:L15" si="11">BS6</f>
        <v>83.063427800269906</v>
      </c>
      <c r="M6" s="548">
        <v>78.72581124566409</v>
      </c>
      <c r="N6" s="548">
        <v>83.933239057119579</v>
      </c>
      <c r="O6" s="548">
        <v>86.628991683351288</v>
      </c>
      <c r="P6" s="612"/>
      <c r="Q6" s="548">
        <v>86.390638002876045</v>
      </c>
      <c r="R6" s="548">
        <v>87.850805720202246</v>
      </c>
      <c r="S6" s="548">
        <v>90.156110559885519</v>
      </c>
      <c r="T6" s="548">
        <v>92.984108641752613</v>
      </c>
      <c r="U6" s="612"/>
      <c r="V6" s="548">
        <v>96.060702180418374</v>
      </c>
      <c r="W6" s="548">
        <v>95.246346574115165</v>
      </c>
      <c r="X6" s="548">
        <v>97.12490495772245</v>
      </c>
      <c r="Y6" s="548">
        <v>94.680539853554706</v>
      </c>
      <c r="Z6" s="552"/>
      <c r="AA6" s="548">
        <v>96.742421848962039</v>
      </c>
      <c r="AB6" s="548">
        <v>92.676552114668723</v>
      </c>
      <c r="AC6" s="548">
        <v>99.076885231281381</v>
      </c>
      <c r="AD6" s="548">
        <v>100.73465941888048</v>
      </c>
      <c r="AE6" s="552"/>
      <c r="AF6" s="548">
        <v>65.224537735518894</v>
      </c>
      <c r="AG6" s="548">
        <v>67.274797375873945</v>
      </c>
      <c r="AH6" s="548">
        <v>66.527778385593678</v>
      </c>
      <c r="AI6" s="548">
        <v>65.801484490427953</v>
      </c>
      <c r="AJ6" s="548"/>
      <c r="AK6" s="548">
        <v>66.457768860740202</v>
      </c>
      <c r="AL6" s="548">
        <v>67.253503957841986</v>
      </c>
      <c r="AM6" s="548">
        <v>66.145083262718458</v>
      </c>
      <c r="AN6" s="548">
        <v>68.214726433246881</v>
      </c>
      <c r="AO6" s="548"/>
      <c r="AP6" s="548">
        <v>69.442353476429318</v>
      </c>
      <c r="AQ6" s="548">
        <v>69.353057387213596</v>
      </c>
      <c r="AR6" s="548">
        <v>68.777780692898034</v>
      </c>
      <c r="AS6" s="548">
        <v>68.71293663607095</v>
      </c>
      <c r="AT6" s="638">
        <f t="shared" ref="AT6:AT15" si="12">BX6</f>
        <v>91.970310391363043</v>
      </c>
      <c r="AU6" s="548">
        <f t="shared" ref="AU6:AU15" si="13">CC6</f>
        <v>103</v>
      </c>
      <c r="AV6" s="548">
        <f t="shared" ref="AV6:AV15" si="14">CH6</f>
        <v>115.1</v>
      </c>
      <c r="AW6" s="548" t="e">
        <f>#REF!</f>
        <v>#REF!</v>
      </c>
      <c r="AX6" s="548" t="e">
        <f>#REF!</f>
        <v>#REF!</v>
      </c>
      <c r="AY6" s="548" t="e">
        <f>#REF!</f>
        <v>#REF!</v>
      </c>
      <c r="AZ6" s="548">
        <f t="shared" ref="AZ6:AZ15" si="15">CQ6</f>
        <v>88.270761245674734</v>
      </c>
      <c r="BA6" s="548">
        <v>70.386108314076239</v>
      </c>
      <c r="BB6" s="548">
        <v>70.725438896082522</v>
      </c>
      <c r="BC6" s="548">
        <v>70.782726045883948</v>
      </c>
      <c r="BD6" s="548">
        <v>70.782726045883948</v>
      </c>
      <c r="BE6" s="548"/>
      <c r="BF6" s="548">
        <v>72.469635627530366</v>
      </c>
      <c r="BG6" s="548">
        <v>73.009446693657225</v>
      </c>
      <c r="BH6" s="548">
        <v>73.549257759784084</v>
      </c>
      <c r="BI6" s="548">
        <v>72.941970310391369</v>
      </c>
      <c r="BJ6" s="548"/>
      <c r="BK6" s="548">
        <v>75.506072874493938</v>
      </c>
      <c r="BL6" s="548">
        <v>76.248313090418364</v>
      </c>
      <c r="BM6" s="548">
        <v>76.585695006747642</v>
      </c>
      <c r="BN6" s="548">
        <v>77.530364372469634</v>
      </c>
      <c r="BO6" s="548"/>
      <c r="BP6" s="548">
        <v>79.082321187584341</v>
      </c>
      <c r="BQ6" s="548">
        <v>80.836707152496629</v>
      </c>
      <c r="BR6" s="548">
        <v>81.983805668016203</v>
      </c>
      <c r="BS6" s="548">
        <v>83.063427800269906</v>
      </c>
      <c r="BT6" s="548"/>
      <c r="BU6" s="548">
        <v>84.345479082321191</v>
      </c>
      <c r="BV6" s="548">
        <v>86.167341430499334</v>
      </c>
      <c r="BW6" s="548">
        <v>89.946018893387318</v>
      </c>
      <c r="BX6" s="548">
        <v>91.970310391363043</v>
      </c>
      <c r="BY6" s="548"/>
      <c r="BZ6" s="548">
        <v>93.184885290148458</v>
      </c>
      <c r="CA6" s="548">
        <v>95.411605937921735</v>
      </c>
      <c r="CB6" s="548">
        <v>97.570850202429142</v>
      </c>
      <c r="CC6" s="548">
        <v>103</v>
      </c>
      <c r="CD6" s="548"/>
      <c r="CE6" s="548">
        <v>104.1</v>
      </c>
      <c r="CF6" s="548">
        <v>107.1</v>
      </c>
      <c r="CG6" s="548">
        <v>111.1</v>
      </c>
      <c r="CH6" s="548">
        <v>115.1</v>
      </c>
      <c r="CI6" s="548">
        <f>CV6</f>
        <v>93.938933608021117</v>
      </c>
      <c r="CJ6" s="548">
        <v>94.993859947181207</v>
      </c>
      <c r="CK6" s="548">
        <v>99.764892650101046</v>
      </c>
      <c r="CL6" s="548">
        <v>103.58752377490714</v>
      </c>
      <c r="CM6" s="548">
        <v>106.201958839524</v>
      </c>
      <c r="CN6" s="652">
        <v>95.614035087719301</v>
      </c>
      <c r="CO6" s="652">
        <v>83.480493079584761</v>
      </c>
      <c r="CP6" s="652">
        <v>87.169550173010364</v>
      </c>
      <c r="CQ6" s="652">
        <v>88.270761245674734</v>
      </c>
      <c r="CR6" s="652">
        <v>152.30000000000001</v>
      </c>
      <c r="CS6" s="652">
        <v>92.014002984773143</v>
      </c>
      <c r="CT6" s="652">
        <v>93.718610223432478</v>
      </c>
      <c r="CU6" s="652">
        <v>96.182753340542035</v>
      </c>
      <c r="CV6" s="652">
        <v>93.938933608021117</v>
      </c>
      <c r="CW6" s="548">
        <f>DY6</f>
        <v>0</v>
      </c>
      <c r="CX6" s="548">
        <f t="shared" ref="CX6:CX15" si="16">ED6</f>
        <v>0</v>
      </c>
      <c r="CY6" s="548">
        <f t="shared" ref="CY6:CY15" si="17">EJ6</f>
        <v>0</v>
      </c>
      <c r="CZ6" s="548">
        <f>EO6</f>
        <v>0</v>
      </c>
      <c r="DA6" s="548">
        <f t="shared" ref="DA6:DA15" si="18">ET6</f>
        <v>0</v>
      </c>
      <c r="DB6" s="548">
        <v>94.21723683065936</v>
      </c>
      <c r="DC6" s="548">
        <v>94.845738275117426</v>
      </c>
      <c r="DD6" s="548">
        <v>97.723305467843119</v>
      </c>
      <c r="DE6" s="548">
        <v>94.993859947181207</v>
      </c>
      <c r="DF6" s="548"/>
      <c r="DG6" s="548">
        <v>96.585811780711694</v>
      </c>
      <c r="DH6" s="548">
        <v>97.367924428300086</v>
      </c>
      <c r="DI6" s="548">
        <v>100.51639487693379</v>
      </c>
      <c r="DJ6" s="548">
        <v>99.764892650101046</v>
      </c>
      <c r="DK6" s="548"/>
      <c r="DL6" s="548">
        <v>103.80287254866381</v>
      </c>
      <c r="DM6" s="548">
        <v>104.32887131347513</v>
      </c>
      <c r="DN6" s="548">
        <v>106.09684228658625</v>
      </c>
      <c r="DO6" s="548">
        <v>103.58752377490714</v>
      </c>
      <c r="DP6" s="548"/>
      <c r="DQ6" s="548">
        <v>105.46443884007583</v>
      </c>
      <c r="DR6" s="548">
        <v>106.70972930085266</v>
      </c>
      <c r="DS6" s="548">
        <v>105.25139283818966</v>
      </c>
      <c r="DT6" s="548">
        <v>106.20195883952397</v>
      </c>
      <c r="DU6" s="548">
        <v>106.3</v>
      </c>
      <c r="DV6" s="548">
        <v>106.3</v>
      </c>
      <c r="DW6" s="548">
        <f>[10]Database!$B$452</f>
        <v>0</v>
      </c>
      <c r="DX6" s="548">
        <f>[10]Database!$B$455</f>
        <v>0</v>
      </c>
      <c r="DY6" s="548">
        <f>[10]Database!$B$458</f>
        <v>0</v>
      </c>
      <c r="DZ6" s="548"/>
      <c r="EA6" s="548">
        <f>[10]Database!$B$461</f>
        <v>0</v>
      </c>
      <c r="EB6" s="548">
        <f>[10]Database!$B$464</f>
        <v>0</v>
      </c>
      <c r="EC6" s="548">
        <f>[10]Database!$B$467</f>
        <v>0</v>
      </c>
      <c r="ED6" s="548">
        <f>[10]Database!$B$470</f>
        <v>0</v>
      </c>
      <c r="EE6" s="548"/>
      <c r="EF6" s="548"/>
      <c r="EG6" s="548">
        <f>[10]Database!$B$473</f>
        <v>0</v>
      </c>
      <c r="EH6" s="548">
        <f>[10]Database!$B$476</f>
        <v>0</v>
      </c>
      <c r="EI6" s="548">
        <f>[10]Database!$B$479</f>
        <v>0</v>
      </c>
      <c r="EJ6" s="548">
        <f>[10]Database!$B$482</f>
        <v>0</v>
      </c>
      <c r="EK6" s="548"/>
      <c r="EL6" s="548">
        <f>[10]Database!$B$485</f>
        <v>0</v>
      </c>
      <c r="EM6" s="548">
        <f>[10]Database!$B$488</f>
        <v>0</v>
      </c>
      <c r="EN6" s="548">
        <f>[10]Database!$B$491</f>
        <v>0</v>
      </c>
      <c r="EO6" s="548">
        <f>[10]Database!$B$494</f>
        <v>0</v>
      </c>
      <c r="EP6" s="548"/>
      <c r="EQ6" s="548">
        <f>[10]Database!$B$497</f>
        <v>0</v>
      </c>
      <c r="ER6" s="548">
        <f>[10]Database!$B$500</f>
        <v>0</v>
      </c>
      <c r="ES6" s="548">
        <f>[10]Database!$B$503</f>
        <v>0</v>
      </c>
      <c r="ET6" s="548">
        <f>[10]Database!$B$506</f>
        <v>0</v>
      </c>
      <c r="EU6" s="548"/>
      <c r="EV6" s="548">
        <f>[10]Database!$B$509</f>
        <v>0</v>
      </c>
      <c r="EW6" s="548">
        <f>[10]Database!$B$512</f>
        <v>0</v>
      </c>
      <c r="EX6" s="550">
        <f>[10]Database!$B$515</f>
        <v>0</v>
      </c>
    </row>
    <row r="7" spans="1:154" ht="13.5" customHeight="1" x14ac:dyDescent="0.2">
      <c r="A7" s="551" t="s">
        <v>126</v>
      </c>
      <c r="B7" s="552">
        <f t="shared" si="1"/>
        <v>88.602706314648486</v>
      </c>
      <c r="C7" s="552">
        <f t="shared" si="2"/>
        <v>96.177139381784755</v>
      </c>
      <c r="D7" s="552">
        <f t="shared" si="3"/>
        <v>96.213920829868385</v>
      </c>
      <c r="E7" s="552">
        <f t="shared" si="4"/>
        <v>100.24027262785857</v>
      </c>
      <c r="F7" s="552">
        <f t="shared" si="5"/>
        <v>58.255094062726052</v>
      </c>
      <c r="G7" s="552">
        <f t="shared" si="6"/>
        <v>62.683508763585017</v>
      </c>
      <c r="H7" s="552">
        <f t="shared" si="7"/>
        <v>65.233001480336455</v>
      </c>
      <c r="I7" s="552">
        <f t="shared" si="8"/>
        <v>67.995095033721654</v>
      </c>
      <c r="J7" s="552">
        <f t="shared" si="9"/>
        <v>72.164316370324954</v>
      </c>
      <c r="K7" s="552">
        <f t="shared" si="10"/>
        <v>73.697118332311476</v>
      </c>
      <c r="L7" s="552">
        <f t="shared" si="11"/>
        <v>76.149601471489888</v>
      </c>
      <c r="M7" s="548">
        <v>83.335021705693975</v>
      </c>
      <c r="N7" s="548">
        <v>85.889349874241404</v>
      </c>
      <c r="O7" s="548">
        <v>88.602706314648486</v>
      </c>
      <c r="P7" s="612"/>
      <c r="Q7" s="548">
        <v>87.107200057129404</v>
      </c>
      <c r="R7" s="548">
        <v>87.557409349159002</v>
      </c>
      <c r="S7" s="548">
        <v>90.600026731326381</v>
      </c>
      <c r="T7" s="548">
        <v>96.177139381784755</v>
      </c>
      <c r="U7" s="612"/>
      <c r="V7" s="548">
        <v>101.36570401040066</v>
      </c>
      <c r="W7" s="548">
        <v>99.341806309097151</v>
      </c>
      <c r="X7" s="548">
        <v>102.54019054582528</v>
      </c>
      <c r="Y7" s="548">
        <v>96.213920829868385</v>
      </c>
      <c r="Z7" s="552"/>
      <c r="AA7" s="548">
        <v>97.970028917218428</v>
      </c>
      <c r="AB7" s="548">
        <v>90.027122842868209</v>
      </c>
      <c r="AC7" s="548">
        <v>98.035447070606125</v>
      </c>
      <c r="AD7" s="548">
        <v>100.24027262785857</v>
      </c>
      <c r="AE7" s="552"/>
      <c r="AF7" s="548">
        <v>56.071319054025714</v>
      </c>
      <c r="AG7" s="548">
        <v>61.096051457840353</v>
      </c>
      <c r="AH7" s="548">
        <v>59.612022554758717</v>
      </c>
      <c r="AI7" s="548">
        <v>58.255094062726052</v>
      </c>
      <c r="AJ7" s="548"/>
      <c r="AK7" s="548">
        <v>59.517759157406545</v>
      </c>
      <c r="AL7" s="548">
        <v>61.179942966067301</v>
      </c>
      <c r="AM7" s="548">
        <v>58.717154467404185</v>
      </c>
      <c r="AN7" s="548">
        <v>62.683508763585017</v>
      </c>
      <c r="AO7" s="548"/>
      <c r="AP7" s="548">
        <v>65.242077585431574</v>
      </c>
      <c r="AQ7" s="548">
        <v>64.737245852340862</v>
      </c>
      <c r="AR7" s="548">
        <v>65.376263654654181</v>
      </c>
      <c r="AS7" s="548">
        <v>65.233001480336455</v>
      </c>
      <c r="AT7" s="638">
        <f t="shared" si="12"/>
        <v>91.048436541998782</v>
      </c>
      <c r="AU7" s="548">
        <f t="shared" si="13"/>
        <v>106.7</v>
      </c>
      <c r="AV7" s="548">
        <f t="shared" si="14"/>
        <v>112.9</v>
      </c>
      <c r="AW7" s="548" t="e">
        <f>#REF!</f>
        <v>#REF!</v>
      </c>
      <c r="AX7" s="548" t="e">
        <f>#REF!</f>
        <v>#REF!</v>
      </c>
      <c r="AY7" s="548" t="e">
        <f>#REF!</f>
        <v>#REF!</v>
      </c>
      <c r="AZ7" s="548">
        <f t="shared" si="15"/>
        <v>85.699584569732963</v>
      </c>
      <c r="BA7" s="548">
        <v>66.470848408126798</v>
      </c>
      <c r="BB7" s="548">
        <v>66.952806851930319</v>
      </c>
      <c r="BC7" s="548">
        <v>67.320662170447577</v>
      </c>
      <c r="BD7" s="548">
        <v>67.995095033721654</v>
      </c>
      <c r="BE7" s="548"/>
      <c r="BF7" s="548">
        <v>70.631514408338447</v>
      </c>
      <c r="BG7" s="548">
        <v>70.141017780502764</v>
      </c>
      <c r="BH7" s="548">
        <v>73.451870018393635</v>
      </c>
      <c r="BI7" s="548">
        <v>72.164316370324954</v>
      </c>
      <c r="BJ7" s="548"/>
      <c r="BK7" s="548">
        <v>75.168608215818509</v>
      </c>
      <c r="BL7" s="548">
        <v>75.659104843654205</v>
      </c>
      <c r="BM7" s="548">
        <v>74.49417535254446</v>
      </c>
      <c r="BN7" s="548">
        <v>73.697118332311476</v>
      </c>
      <c r="BO7" s="548"/>
      <c r="BP7" s="548">
        <v>73.758430410790936</v>
      </c>
      <c r="BQ7" s="548">
        <v>75.352544451256904</v>
      </c>
      <c r="BR7" s="548">
        <v>75.597792765174745</v>
      </c>
      <c r="BS7" s="548">
        <v>76.149601471489888</v>
      </c>
      <c r="BT7" s="548"/>
      <c r="BU7" s="548">
        <v>78.847332924586141</v>
      </c>
      <c r="BV7" s="548">
        <v>81.667688534641329</v>
      </c>
      <c r="BW7" s="548">
        <v>87.308399754751704</v>
      </c>
      <c r="BX7" s="548">
        <v>91.048436541998782</v>
      </c>
      <c r="BY7" s="548"/>
      <c r="BZ7" s="548">
        <v>93.991416309012891</v>
      </c>
      <c r="CA7" s="548">
        <v>97.05702023298592</v>
      </c>
      <c r="CB7" s="548">
        <v>97.97670141017781</v>
      </c>
      <c r="CC7" s="548">
        <v>106.7</v>
      </c>
      <c r="CD7" s="548"/>
      <c r="CE7" s="548">
        <v>104.4</v>
      </c>
      <c r="CF7" s="548">
        <v>106.4</v>
      </c>
      <c r="CG7" s="548">
        <v>109.4</v>
      </c>
      <c r="CH7" s="548">
        <v>112.9</v>
      </c>
      <c r="CI7" s="548">
        <f t="shared" ref="CI7:CI15" si="19">CV7</f>
        <v>88.026756578749072</v>
      </c>
      <c r="CJ7" s="548">
        <v>95.317707768748633</v>
      </c>
      <c r="CK7" s="548">
        <v>98.982873350149632</v>
      </c>
      <c r="CL7" s="548">
        <v>102.14704016510936</v>
      </c>
      <c r="CM7" s="548">
        <v>108.2402861226751</v>
      </c>
      <c r="CN7" s="652">
        <v>97.118332311465366</v>
      </c>
      <c r="CO7" s="652">
        <v>81.277151335311586</v>
      </c>
      <c r="CP7" s="652">
        <v>84.982433234421379</v>
      </c>
      <c r="CQ7" s="652">
        <v>85.699584569732963</v>
      </c>
      <c r="CR7" s="652"/>
      <c r="CS7" s="652">
        <v>88.995003086472963</v>
      </c>
      <c r="CT7" s="652">
        <v>90.166461824212959</v>
      </c>
      <c r="CU7" s="652">
        <v>88.839605498813555</v>
      </c>
      <c r="CV7" s="652">
        <v>88.026756578749072</v>
      </c>
      <c r="CW7" s="548">
        <f>DY7</f>
        <v>0</v>
      </c>
      <c r="CX7" s="548">
        <f t="shared" si="16"/>
        <v>0</v>
      </c>
      <c r="CY7" s="548">
        <f t="shared" si="17"/>
        <v>0</v>
      </c>
      <c r="CZ7" s="548">
        <f t="shared" ref="CZ7:CZ15" si="20">EO7</f>
        <v>0</v>
      </c>
      <c r="DA7" s="548">
        <f t="shared" si="18"/>
        <v>0</v>
      </c>
      <c r="DB7" s="548">
        <v>93.328205050052077</v>
      </c>
      <c r="DC7" s="548">
        <v>95.91019573731576</v>
      </c>
      <c r="DD7" s="548">
        <v>101.46819785596502</v>
      </c>
      <c r="DE7" s="548">
        <v>95.317707768748633</v>
      </c>
      <c r="DF7" s="548"/>
      <c r="DG7" s="548">
        <v>97.133075536812257</v>
      </c>
      <c r="DH7" s="548">
        <v>98.011456814958777</v>
      </c>
      <c r="DI7" s="548">
        <v>100.72989315870073</v>
      </c>
      <c r="DJ7" s="548">
        <v>98.982873350149632</v>
      </c>
      <c r="DK7" s="548"/>
      <c r="DL7" s="548">
        <v>104.60748862978686</v>
      </c>
      <c r="DM7" s="548">
        <v>103.32897243987685</v>
      </c>
      <c r="DN7" s="548">
        <v>108.47662884642216</v>
      </c>
      <c r="DO7" s="548">
        <v>102.14704016510936</v>
      </c>
      <c r="DP7" s="548"/>
      <c r="DQ7" s="548">
        <v>105.34189703129577</v>
      </c>
      <c r="DR7" s="548">
        <v>107.79994530427673</v>
      </c>
      <c r="DS7" s="548">
        <v>106.67387554709831</v>
      </c>
      <c r="DT7" s="548">
        <v>108.2402861226751</v>
      </c>
      <c r="DU7" s="548">
        <v>108.4</v>
      </c>
      <c r="DV7" s="548">
        <v>108.4</v>
      </c>
      <c r="DW7" s="548">
        <f>[10]Database!$C$452</f>
        <v>0</v>
      </c>
      <c r="DX7" s="548">
        <f>[10]Database!$C$455</f>
        <v>0</v>
      </c>
      <c r="DY7" s="548">
        <f>[10]Database!$C$458</f>
        <v>0</v>
      </c>
      <c r="DZ7" s="548"/>
      <c r="EA7" s="548">
        <f>[10]Database!$C$461</f>
        <v>0</v>
      </c>
      <c r="EB7" s="548">
        <f>[10]Database!$C$464</f>
        <v>0</v>
      </c>
      <c r="EC7" s="548">
        <f>[10]Database!$C$467</f>
        <v>0</v>
      </c>
      <c r="ED7" s="548">
        <f>[10]Database!$C$470</f>
        <v>0</v>
      </c>
      <c r="EE7" s="548"/>
      <c r="EF7" s="548"/>
      <c r="EG7" s="548">
        <f>[10]Database!$C$473</f>
        <v>0</v>
      </c>
      <c r="EH7" s="548">
        <f>[10]Database!$C$476</f>
        <v>0</v>
      </c>
      <c r="EI7" s="548">
        <f>[10]Database!$C$479</f>
        <v>0</v>
      </c>
      <c r="EJ7" s="548">
        <f>[10]Database!$C$482</f>
        <v>0</v>
      </c>
      <c r="EK7" s="548"/>
      <c r="EL7" s="548">
        <f>[10]Database!$C$485</f>
        <v>0</v>
      </c>
      <c r="EM7" s="548">
        <f>[10]Database!$C$488</f>
        <v>0</v>
      </c>
      <c r="EN7" s="548">
        <f>[10]Database!$C$491</f>
        <v>0</v>
      </c>
      <c r="EO7" s="548">
        <f>[10]Database!$C$494</f>
        <v>0</v>
      </c>
      <c r="EP7" s="548"/>
      <c r="EQ7" s="548">
        <f>[10]Database!$C$497</f>
        <v>0</v>
      </c>
      <c r="ER7" s="548">
        <f>[10]Database!$C$500</f>
        <v>0</v>
      </c>
      <c r="ES7" s="548">
        <f>[10]Database!$C$503</f>
        <v>0</v>
      </c>
      <c r="ET7" s="548">
        <f>[10]Database!$C$506</f>
        <v>0</v>
      </c>
      <c r="EU7" s="548"/>
      <c r="EV7" s="548">
        <f>[10]Database!$C$509</f>
        <v>0</v>
      </c>
      <c r="EW7" s="548">
        <f>[10]Database!$C$512</f>
        <v>0</v>
      </c>
      <c r="EX7" s="550">
        <f>[10]Database!$C$515</f>
        <v>0</v>
      </c>
    </row>
    <row r="8" spans="1:154" ht="13.5" customHeight="1" x14ac:dyDescent="0.2">
      <c r="A8" s="551" t="s">
        <v>127</v>
      </c>
      <c r="B8" s="552">
        <f t="shared" si="1"/>
        <v>79.757334065752545</v>
      </c>
      <c r="C8" s="552">
        <f t="shared" si="2"/>
        <v>86.063922736189198</v>
      </c>
      <c r="D8" s="552">
        <f t="shared" si="3"/>
        <v>96.949640719118008</v>
      </c>
      <c r="E8" s="552">
        <f t="shared" si="4"/>
        <v>106.26074822227085</v>
      </c>
      <c r="F8" s="552">
        <f t="shared" si="5"/>
        <v>80.238223409371287</v>
      </c>
      <c r="G8" s="552">
        <f t="shared" si="6"/>
        <v>80.692116740515772</v>
      </c>
      <c r="H8" s="552">
        <f t="shared" si="7"/>
        <v>80.701042601688968</v>
      </c>
      <c r="I8" s="552">
        <f t="shared" si="8"/>
        <v>81.154771451483569</v>
      </c>
      <c r="J8" s="552">
        <f t="shared" si="9"/>
        <v>84.121892542101037</v>
      </c>
      <c r="K8" s="552">
        <f t="shared" si="10"/>
        <v>91.419406575781863</v>
      </c>
      <c r="L8" s="552">
        <f t="shared" si="11"/>
        <v>92.862870890136321</v>
      </c>
      <c r="M8" s="548">
        <v>62.87975423235951</v>
      </c>
      <c r="N8" s="548">
        <v>74.033176179771999</v>
      </c>
      <c r="O8" s="548">
        <v>79.757334065752545</v>
      </c>
      <c r="P8" s="612"/>
      <c r="Q8" s="548">
        <v>81.722129587465005</v>
      </c>
      <c r="R8" s="548">
        <v>83.587316187097997</v>
      </c>
      <c r="S8" s="548">
        <v>86.295555803518681</v>
      </c>
      <c r="T8" s="548">
        <v>86.063922736189198</v>
      </c>
      <c r="U8" s="612"/>
      <c r="V8" s="548">
        <v>94.505583458353186</v>
      </c>
      <c r="W8" s="548">
        <v>94.004336388530291</v>
      </c>
      <c r="X8" s="548">
        <v>96.360097334577972</v>
      </c>
      <c r="Y8" s="548">
        <v>96.949640719118008</v>
      </c>
      <c r="Z8" s="552"/>
      <c r="AA8" s="548">
        <v>94.639588828280523</v>
      </c>
      <c r="AB8" s="548">
        <v>95.77828506818345</v>
      </c>
      <c r="AC8" s="548">
        <v>103.67903831021177</v>
      </c>
      <c r="AD8" s="548">
        <v>106.26074822227085</v>
      </c>
      <c r="AE8" s="552"/>
      <c r="AF8" s="548">
        <v>81.424266281497566</v>
      </c>
      <c r="AG8" s="548">
        <v>80.592246624569327</v>
      </c>
      <c r="AH8" s="548">
        <v>80.002985608094576</v>
      </c>
      <c r="AI8" s="548">
        <v>80.238223409371287</v>
      </c>
      <c r="AJ8" s="548"/>
      <c r="AK8" s="548">
        <v>78.509284404271185</v>
      </c>
      <c r="AL8" s="548">
        <v>78.965760689359712</v>
      </c>
      <c r="AM8" s="548">
        <v>79.977709190448167</v>
      </c>
      <c r="AN8" s="548">
        <v>80.692116740515772</v>
      </c>
      <c r="AO8" s="548"/>
      <c r="AP8" s="548">
        <v>81.29372164349401</v>
      </c>
      <c r="AQ8" s="548">
        <v>83.134518140858276</v>
      </c>
      <c r="AR8" s="548">
        <v>80.154682326573848</v>
      </c>
      <c r="AS8" s="548">
        <v>80.701042601688968</v>
      </c>
      <c r="AT8" s="638">
        <f t="shared" si="12"/>
        <v>98.556535685645557</v>
      </c>
      <c r="AU8" s="548">
        <f t="shared" si="13"/>
        <v>98.5</v>
      </c>
      <c r="AV8" s="548">
        <f t="shared" si="14"/>
        <v>104.3</v>
      </c>
      <c r="AW8" s="548" t="e">
        <f>#REF!</f>
        <v>#REF!</v>
      </c>
      <c r="AX8" s="548" t="e">
        <f>#REF!</f>
        <v>#REF!</v>
      </c>
      <c r="AY8" s="548" t="e">
        <f>#REF!</f>
        <v>#REF!</v>
      </c>
      <c r="AZ8" s="548">
        <f t="shared" si="15"/>
        <v>97.037508463100878</v>
      </c>
      <c r="BA8" s="548">
        <v>82.526516330969656</v>
      </c>
      <c r="BB8" s="548">
        <v>82.459613035837748</v>
      </c>
      <c r="BC8" s="548">
        <v>81.475541299117879</v>
      </c>
      <c r="BD8" s="548">
        <v>81.154771451483569</v>
      </c>
      <c r="BE8" s="548"/>
      <c r="BF8" s="548">
        <v>85.004009623095428</v>
      </c>
      <c r="BG8" s="548">
        <v>83.720930232558146</v>
      </c>
      <c r="BH8" s="548">
        <v>79.310344827586206</v>
      </c>
      <c r="BI8" s="548">
        <v>84.121892542101037</v>
      </c>
      <c r="BJ8" s="548"/>
      <c r="BK8" s="548">
        <v>85.886126704089804</v>
      </c>
      <c r="BL8" s="548">
        <v>88.692862870890139</v>
      </c>
      <c r="BM8" s="548">
        <v>90.296712109061744</v>
      </c>
      <c r="BN8" s="548">
        <v>91.419406575781863</v>
      </c>
      <c r="BO8" s="548"/>
      <c r="BP8" s="548">
        <v>92.060946271050511</v>
      </c>
      <c r="BQ8" s="548">
        <v>93.023255813953483</v>
      </c>
      <c r="BR8" s="548">
        <v>92.542101042502011</v>
      </c>
      <c r="BS8" s="548">
        <v>92.862870890136321</v>
      </c>
      <c r="BT8" s="548"/>
      <c r="BU8" s="548">
        <v>93.664795509222131</v>
      </c>
      <c r="BV8" s="548">
        <v>95.910184442662384</v>
      </c>
      <c r="BW8" s="548">
        <v>98.235765838011218</v>
      </c>
      <c r="BX8" s="548">
        <v>98.556535685645557</v>
      </c>
      <c r="BY8" s="548"/>
      <c r="BZ8" s="548">
        <v>99.518845228548514</v>
      </c>
      <c r="CA8" s="548">
        <v>97.19326383319968</v>
      </c>
      <c r="CB8" s="548">
        <v>100.56134723336008</v>
      </c>
      <c r="CC8" s="548">
        <v>98.5</v>
      </c>
      <c r="CD8" s="548"/>
      <c r="CE8" s="548">
        <v>99.7</v>
      </c>
      <c r="CF8" s="548">
        <v>100.7</v>
      </c>
      <c r="CG8" s="548">
        <v>104.8</v>
      </c>
      <c r="CH8" s="548">
        <v>104.3</v>
      </c>
      <c r="CI8" s="548">
        <f t="shared" si="19"/>
        <v>104.39961655478874</v>
      </c>
      <c r="CJ8" s="548">
        <v>102.8175595814382</v>
      </c>
      <c r="CK8" s="548">
        <v>99.631981197432026</v>
      </c>
      <c r="CL8" s="548">
        <v>99.656346861993015</v>
      </c>
      <c r="CM8" s="548">
        <v>100.01362235115064</v>
      </c>
      <c r="CN8" s="652">
        <v>100.16038492381716</v>
      </c>
      <c r="CO8" s="652">
        <v>96.093432633717001</v>
      </c>
      <c r="CP8" s="652">
        <v>96.632904536222085</v>
      </c>
      <c r="CQ8" s="652">
        <v>97.037508463100878</v>
      </c>
      <c r="CR8" s="652"/>
      <c r="CS8" s="652">
        <v>96.951175513268325</v>
      </c>
      <c r="CT8" s="652">
        <v>97.558385380783577</v>
      </c>
      <c r="CU8" s="652">
        <v>101.37706076982393</v>
      </c>
      <c r="CV8" s="652">
        <v>104.39961655478874</v>
      </c>
      <c r="CW8" s="548">
        <f>DY8</f>
        <v>0</v>
      </c>
      <c r="CX8" s="548">
        <f t="shared" si="16"/>
        <v>0</v>
      </c>
      <c r="CY8" s="548">
        <f t="shared" si="17"/>
        <v>0</v>
      </c>
      <c r="CZ8" s="548">
        <f t="shared" si="20"/>
        <v>0</v>
      </c>
      <c r="DA8" s="548">
        <f t="shared" si="18"/>
        <v>0</v>
      </c>
      <c r="DB8" s="548">
        <v>103.81264701619064</v>
      </c>
      <c r="DC8" s="548">
        <v>103.86662122663643</v>
      </c>
      <c r="DD8" s="548">
        <v>103.96624547492203</v>
      </c>
      <c r="DE8" s="548">
        <v>102.8175595814382</v>
      </c>
      <c r="DF8" s="548"/>
      <c r="DG8" s="548">
        <v>102.97256946577275</v>
      </c>
      <c r="DH8" s="548">
        <v>103.55723430558477</v>
      </c>
      <c r="DI8" s="548">
        <v>99.646626667924977</v>
      </c>
      <c r="DJ8" s="548">
        <v>99.631981197432026</v>
      </c>
      <c r="DK8" s="548"/>
      <c r="DL8" s="548">
        <v>99.849299548656091</v>
      </c>
      <c r="DM8" s="548">
        <v>99.821786677534362</v>
      </c>
      <c r="DN8" s="548">
        <v>99.821786677534362</v>
      </c>
      <c r="DO8" s="548">
        <v>99.656346861993015</v>
      </c>
      <c r="DP8" s="548"/>
      <c r="DQ8" s="548">
        <v>99.841427268322164</v>
      </c>
      <c r="DR8" s="548">
        <v>99.254690752402411</v>
      </c>
      <c r="DS8" s="548">
        <v>99.334358593237766</v>
      </c>
      <c r="DT8" s="548">
        <v>100.01362235115064</v>
      </c>
      <c r="DU8" s="548">
        <v>100</v>
      </c>
      <c r="DV8" s="548">
        <v>100</v>
      </c>
      <c r="DW8" s="548">
        <f>[10]Database!$J$452</f>
        <v>0</v>
      </c>
      <c r="DX8" s="548">
        <f>[10]Database!$J$455</f>
        <v>0</v>
      </c>
      <c r="DY8" s="548">
        <f>[10]Database!$J$458</f>
        <v>0</v>
      </c>
      <c r="DZ8" s="548"/>
      <c r="EA8" s="548">
        <f>[10]Database!$J$461</f>
        <v>0</v>
      </c>
      <c r="EB8" s="548">
        <f>[10]Database!$J$464</f>
        <v>0</v>
      </c>
      <c r="EC8" s="548">
        <f>[10]Database!$J$467</f>
        <v>0</v>
      </c>
      <c r="ED8" s="548">
        <f>[10]Database!$J$470</f>
        <v>0</v>
      </c>
      <c r="EE8" s="548"/>
      <c r="EF8" s="548"/>
      <c r="EG8" s="548">
        <f>[10]Database!$J$473</f>
        <v>0</v>
      </c>
      <c r="EH8" s="548">
        <f>[10]Database!$J$476</f>
        <v>0</v>
      </c>
      <c r="EI8" s="548">
        <f>[10]Database!$J$479</f>
        <v>0</v>
      </c>
      <c r="EJ8" s="548">
        <f>[10]Database!$J$482</f>
        <v>0</v>
      </c>
      <c r="EK8" s="548"/>
      <c r="EL8" s="548">
        <f>[10]Database!$J$485</f>
        <v>0</v>
      </c>
      <c r="EM8" s="548">
        <f>[10]Database!$J$488</f>
        <v>0</v>
      </c>
      <c r="EN8" s="548">
        <f>[10]Database!$J$491</f>
        <v>0</v>
      </c>
      <c r="EO8" s="548">
        <f>[10]Database!$J$494</f>
        <v>0</v>
      </c>
      <c r="EP8" s="548"/>
      <c r="EQ8" s="548">
        <f>[10]Database!$J$497</f>
        <v>0</v>
      </c>
      <c r="ER8" s="548">
        <f>[10]Database!$J$500</f>
        <v>0</v>
      </c>
      <c r="ES8" s="548">
        <f>[10]Database!$J$503</f>
        <v>0</v>
      </c>
      <c r="ET8" s="548">
        <f>[10]Database!$J$506</f>
        <v>0</v>
      </c>
      <c r="EU8" s="548"/>
      <c r="EV8" s="548">
        <f>[10]Database!$J$509</f>
        <v>0</v>
      </c>
      <c r="EW8" s="548">
        <f>[10]Database!$J$512</f>
        <v>0</v>
      </c>
      <c r="EX8" s="550">
        <f>[10]Database!$J$515</f>
        <v>0</v>
      </c>
    </row>
    <row r="9" spans="1:154" ht="13.5" customHeight="1" x14ac:dyDescent="0.2">
      <c r="A9" s="551" t="s">
        <v>165</v>
      </c>
      <c r="B9" s="552">
        <f t="shared" si="1"/>
        <v>76.709662944252926</v>
      </c>
      <c r="C9" s="552">
        <f t="shared" si="2"/>
        <v>83.326272508142139</v>
      </c>
      <c r="D9" s="552">
        <f t="shared" si="3"/>
        <v>85.240488723847591</v>
      </c>
      <c r="E9" s="552">
        <f t="shared" si="4"/>
        <v>96.210314967339812</v>
      </c>
      <c r="F9" s="552">
        <f t="shared" si="5"/>
        <v>73.528182836423824</v>
      </c>
      <c r="G9" s="552">
        <f t="shared" si="6"/>
        <v>72.833610468688065</v>
      </c>
      <c r="H9" s="552">
        <f t="shared" si="7"/>
        <v>71.492863287530355</v>
      </c>
      <c r="I9" s="552">
        <f t="shared" si="8"/>
        <v>71.01238164603059</v>
      </c>
      <c r="J9" s="552">
        <f t="shared" si="9"/>
        <v>74.799708667152217</v>
      </c>
      <c r="K9" s="552">
        <f t="shared" si="10"/>
        <v>79.169701383831026</v>
      </c>
      <c r="L9" s="552">
        <f t="shared" si="11"/>
        <v>83.903860160233052</v>
      </c>
      <c r="M9" s="548">
        <v>73.029497582373537</v>
      </c>
      <c r="N9" s="548">
        <v>72.211666489836105</v>
      </c>
      <c r="O9" s="548">
        <v>76.709662944252926</v>
      </c>
      <c r="P9" s="612"/>
      <c r="Q9" s="548">
        <v>75.333513465536726</v>
      </c>
      <c r="R9" s="548">
        <v>82.076954804314568</v>
      </c>
      <c r="S9" s="548">
        <v>82.971355255114148</v>
      </c>
      <c r="T9" s="548">
        <v>83.326272508142139</v>
      </c>
      <c r="U9" s="612"/>
      <c r="V9" s="548">
        <v>82.171343767791654</v>
      </c>
      <c r="W9" s="548">
        <v>80.362731557729361</v>
      </c>
      <c r="X9" s="548">
        <v>83.40653588918056</v>
      </c>
      <c r="Y9" s="548">
        <v>85.240488723847591</v>
      </c>
      <c r="Z9" s="552"/>
      <c r="AA9" s="548">
        <v>85.95131155740485</v>
      </c>
      <c r="AB9" s="548">
        <v>86.267060483797238</v>
      </c>
      <c r="AC9" s="548">
        <v>94.560329721392435</v>
      </c>
      <c r="AD9" s="548">
        <v>96.210314967339812</v>
      </c>
      <c r="AE9" s="552"/>
      <c r="AF9" s="548">
        <v>71.959955443549774</v>
      </c>
      <c r="AG9" s="548">
        <v>73.1132436254358</v>
      </c>
      <c r="AH9" s="548">
        <v>73.399613461348736</v>
      </c>
      <c r="AI9" s="548">
        <v>73.528182836423824</v>
      </c>
      <c r="AJ9" s="548"/>
      <c r="AK9" s="548">
        <v>72.487444286876595</v>
      </c>
      <c r="AL9" s="548">
        <v>73.298665707974834</v>
      </c>
      <c r="AM9" s="548">
        <v>73.420344210349029</v>
      </c>
      <c r="AN9" s="548">
        <v>72.833610468688065</v>
      </c>
      <c r="AO9" s="548"/>
      <c r="AP9" s="548">
        <v>72.750991712509389</v>
      </c>
      <c r="AQ9" s="548">
        <v>73.148144299474225</v>
      </c>
      <c r="AR9" s="548">
        <v>71.736406876439233</v>
      </c>
      <c r="AS9" s="548">
        <v>71.492863287530355</v>
      </c>
      <c r="AT9" s="638">
        <f t="shared" si="12"/>
        <v>90.021849963583378</v>
      </c>
      <c r="AU9" s="548">
        <f t="shared" si="13"/>
        <v>100</v>
      </c>
      <c r="AV9" s="548">
        <f t="shared" si="14"/>
        <v>112.5</v>
      </c>
      <c r="AW9" s="548" t="e">
        <f>#REF!</f>
        <v>#REF!</v>
      </c>
      <c r="AX9" s="548" t="e">
        <f>#REF!</f>
        <v>#REF!</v>
      </c>
      <c r="AY9" s="548" t="e">
        <f>#REF!</f>
        <v>#REF!</v>
      </c>
      <c r="AZ9" s="548">
        <f t="shared" si="15"/>
        <v>96.511742892459822</v>
      </c>
      <c r="BA9" s="548">
        <v>73.347190950231806</v>
      </c>
      <c r="BB9" s="548">
        <v>73.572742698510268</v>
      </c>
      <c r="BC9" s="548">
        <v>72.978878368536044</v>
      </c>
      <c r="BD9" s="548">
        <v>71.01238164603059</v>
      </c>
      <c r="BE9" s="548"/>
      <c r="BF9" s="548">
        <v>75.819373634377257</v>
      </c>
      <c r="BG9" s="548">
        <v>73.998543335761099</v>
      </c>
      <c r="BH9" s="548">
        <v>74.508375819373626</v>
      </c>
      <c r="BI9" s="548">
        <v>74.799708667152217</v>
      </c>
      <c r="BJ9" s="548"/>
      <c r="BK9" s="548">
        <v>75.45520757465404</v>
      </c>
      <c r="BL9" s="548">
        <v>77.494537509104148</v>
      </c>
      <c r="BM9" s="548">
        <v>77.64020393299343</v>
      </c>
      <c r="BN9" s="548">
        <v>79.169701383831026</v>
      </c>
      <c r="BO9" s="548"/>
      <c r="BP9" s="548">
        <v>81.35469774217043</v>
      </c>
      <c r="BQ9" s="548">
        <v>81.281864530225761</v>
      </c>
      <c r="BR9" s="548">
        <v>83.029861616897293</v>
      </c>
      <c r="BS9" s="548">
        <v>83.903860160233052</v>
      </c>
      <c r="BT9" s="548"/>
      <c r="BU9" s="548">
        <v>83.612527312454461</v>
      </c>
      <c r="BV9" s="548">
        <v>84.923525127458106</v>
      </c>
      <c r="BW9" s="548">
        <v>89.147851420247619</v>
      </c>
      <c r="BX9" s="548">
        <v>90.021849963583378</v>
      </c>
      <c r="BY9" s="548"/>
      <c r="BZ9" s="548">
        <v>91.114348142753087</v>
      </c>
      <c r="CA9" s="548">
        <v>93.590677348871083</v>
      </c>
      <c r="CB9" s="548">
        <v>96.212672978878359</v>
      </c>
      <c r="CC9" s="548">
        <v>100</v>
      </c>
      <c r="CD9" s="548"/>
      <c r="CE9" s="548">
        <v>105.2</v>
      </c>
      <c r="CF9" s="548">
        <v>106.2</v>
      </c>
      <c r="CG9" s="548">
        <v>107.7</v>
      </c>
      <c r="CH9" s="548">
        <v>112.5</v>
      </c>
      <c r="CI9" s="548">
        <f t="shared" si="19"/>
        <v>106.60386238082859</v>
      </c>
      <c r="CJ9" s="548">
        <v>98.350582563999623</v>
      </c>
      <c r="CK9" s="548">
        <v>99.972936456393043</v>
      </c>
      <c r="CL9" s="548">
        <v>103.79782271059619</v>
      </c>
      <c r="CM9" s="548">
        <v>101.88006326655152</v>
      </c>
      <c r="CN9" s="652">
        <v>93.590677348871083</v>
      </c>
      <c r="CO9" s="652">
        <v>93.727750309023477</v>
      </c>
      <c r="CP9" s="652">
        <v>96.264276885043245</v>
      </c>
      <c r="CQ9" s="652">
        <v>96.511742892459822</v>
      </c>
      <c r="CR9" s="652"/>
      <c r="CS9" s="652">
        <v>104.69082483650685</v>
      </c>
      <c r="CT9" s="652">
        <v>102.0658153905767</v>
      </c>
      <c r="CU9" s="652">
        <v>108.80787974580768</v>
      </c>
      <c r="CV9" s="652">
        <v>106.60386238082859</v>
      </c>
      <c r="CW9" s="548">
        <v>104.3</v>
      </c>
      <c r="CX9" s="548">
        <f t="shared" si="16"/>
        <v>0</v>
      </c>
      <c r="CY9" s="548">
        <f t="shared" si="17"/>
        <v>0</v>
      </c>
      <c r="CZ9" s="548">
        <f t="shared" si="20"/>
        <v>0</v>
      </c>
      <c r="DA9" s="548">
        <f t="shared" si="18"/>
        <v>0</v>
      </c>
      <c r="DB9" s="548">
        <v>104.61653211633903</v>
      </c>
      <c r="DC9" s="548">
        <v>95.038962274702371</v>
      </c>
      <c r="DD9" s="548">
        <v>95.168359762736685</v>
      </c>
      <c r="DE9" s="548">
        <v>98.350582563999623</v>
      </c>
      <c r="DF9" s="548"/>
      <c r="DG9" s="548">
        <v>98.394041947979787</v>
      </c>
      <c r="DH9" s="548">
        <v>99.973439553511781</v>
      </c>
      <c r="DI9" s="548">
        <v>100.1436831790944</v>
      </c>
      <c r="DJ9" s="548">
        <v>99.972936456393043</v>
      </c>
      <c r="DK9" s="548"/>
      <c r="DL9" s="548">
        <v>100.03598223877174</v>
      </c>
      <c r="DM9" s="548">
        <v>101.77808348393168</v>
      </c>
      <c r="DN9" s="548">
        <v>101.79138509604918</v>
      </c>
      <c r="DO9" s="548">
        <v>103.79782271059619</v>
      </c>
      <c r="DP9" s="548"/>
      <c r="DQ9" s="548">
        <v>104.37682919044285</v>
      </c>
      <c r="DR9" s="548">
        <v>104.672782439413</v>
      </c>
      <c r="DS9" s="548">
        <v>101.27200688852069</v>
      </c>
      <c r="DT9" s="548">
        <v>101.88006326655152</v>
      </c>
      <c r="DU9" s="548">
        <v>101.8</v>
      </c>
      <c r="DV9" s="548">
        <v>101.8</v>
      </c>
      <c r="DW9" s="548">
        <f>[10]Database!$M$452</f>
        <v>0</v>
      </c>
      <c r="DX9" s="548">
        <f>[10]Database!$M$455</f>
        <v>0</v>
      </c>
      <c r="DY9" s="548">
        <f>[10]Database!$M$458</f>
        <v>0</v>
      </c>
      <c r="DZ9" s="548"/>
      <c r="EA9" s="548">
        <f>[10]Database!$M$461</f>
        <v>0</v>
      </c>
      <c r="EB9" s="548">
        <f>[10]Database!$M$464</f>
        <v>0</v>
      </c>
      <c r="EC9" s="548">
        <f>[10]Database!$M$467</f>
        <v>0</v>
      </c>
      <c r="ED9" s="548">
        <f>[10]Database!$M$470</f>
        <v>0</v>
      </c>
      <c r="EE9" s="548"/>
      <c r="EF9" s="548"/>
      <c r="EG9" s="548">
        <f>[10]Database!$M$473</f>
        <v>0</v>
      </c>
      <c r="EH9" s="548">
        <f>[10]Database!$M$476</f>
        <v>0</v>
      </c>
      <c r="EI9" s="548">
        <f>[10]Database!$M$479</f>
        <v>0</v>
      </c>
      <c r="EJ9" s="548">
        <f>[10]Database!$M$482</f>
        <v>0</v>
      </c>
      <c r="EK9" s="548"/>
      <c r="EL9" s="548">
        <f>[10]Database!$M$485</f>
        <v>0</v>
      </c>
      <c r="EM9" s="548">
        <f>[10]Database!$M$488</f>
        <v>0</v>
      </c>
      <c r="EN9" s="548">
        <f>[10]Database!$M$491</f>
        <v>0</v>
      </c>
      <c r="EO9" s="548">
        <f>[10]Database!$M$494</f>
        <v>0</v>
      </c>
      <c r="EP9" s="548"/>
      <c r="EQ9" s="548">
        <f>[10]Database!$M$497</f>
        <v>0</v>
      </c>
      <c r="ER9" s="548">
        <f>[10]Database!$M$500</f>
        <v>0</v>
      </c>
      <c r="ES9" s="548">
        <f>[10]Database!$M$503</f>
        <v>0</v>
      </c>
      <c r="ET9" s="548">
        <f>[10]Database!$M$506</f>
        <v>0</v>
      </c>
      <c r="EU9" s="548"/>
      <c r="EV9" s="548">
        <f>[10]Database!$M$509</f>
        <v>0</v>
      </c>
      <c r="EW9" s="548">
        <f>[10]Database!$M$512</f>
        <v>0</v>
      </c>
      <c r="EX9" s="550">
        <f>[10]Database!$M$515</f>
        <v>0</v>
      </c>
    </row>
    <row r="10" spans="1:154" ht="13.5" customHeight="1" x14ac:dyDescent="0.2">
      <c r="A10" s="551" t="s">
        <v>129</v>
      </c>
      <c r="B10" s="552">
        <f t="shared" si="1"/>
        <v>104.00706415514851</v>
      </c>
      <c r="C10" s="552">
        <f t="shared" si="2"/>
        <v>105.11341150407529</v>
      </c>
      <c r="D10" s="552">
        <f t="shared" si="3"/>
        <v>101.2038806680998</v>
      </c>
      <c r="E10" s="552">
        <f t="shared" si="4"/>
        <v>104.29785444603962</v>
      </c>
      <c r="F10" s="552">
        <f t="shared" si="5"/>
        <v>70.422907394356741</v>
      </c>
      <c r="G10" s="552">
        <f t="shared" si="6"/>
        <v>74.019584640833088</v>
      </c>
      <c r="H10" s="552">
        <f t="shared" si="7"/>
        <v>73.007911817999528</v>
      </c>
      <c r="I10" s="552">
        <f t="shared" si="8"/>
        <v>72.531551596139579</v>
      </c>
      <c r="J10" s="552">
        <f t="shared" si="9"/>
        <v>72.976985894580551</v>
      </c>
      <c r="K10" s="552">
        <f t="shared" si="10"/>
        <v>80.103934669636232</v>
      </c>
      <c r="L10" s="552">
        <f t="shared" si="11"/>
        <v>80.623608017817375</v>
      </c>
      <c r="M10" s="548">
        <v>104.91656212661893</v>
      </c>
      <c r="N10" s="548">
        <v>99.649760657737403</v>
      </c>
      <c r="O10" s="548">
        <v>104.00706415514851</v>
      </c>
      <c r="P10" s="612"/>
      <c r="Q10" s="548">
        <v>99.700739246808268</v>
      </c>
      <c r="R10" s="548">
        <v>101.35767588505809</v>
      </c>
      <c r="S10" s="548">
        <v>102.98171030367971</v>
      </c>
      <c r="T10" s="548">
        <v>105.11341150407529</v>
      </c>
      <c r="U10" s="612"/>
      <c r="V10" s="548">
        <v>102.21137886459334</v>
      </c>
      <c r="W10" s="548">
        <v>100.72274988922815</v>
      </c>
      <c r="X10" s="548">
        <v>98.297952283477116</v>
      </c>
      <c r="Y10" s="548">
        <v>101.2038806680998</v>
      </c>
      <c r="Z10" s="552"/>
      <c r="AA10" s="548">
        <v>103.25263795129942</v>
      </c>
      <c r="AB10" s="548">
        <v>104.33697720893909</v>
      </c>
      <c r="AC10" s="548">
        <v>102.4581274437395</v>
      </c>
      <c r="AD10" s="548">
        <v>104.29785444603962</v>
      </c>
      <c r="AE10" s="552"/>
      <c r="AF10" s="548">
        <v>75.486764918552126</v>
      </c>
      <c r="AG10" s="548">
        <v>72.046536712040009</v>
      </c>
      <c r="AH10" s="548">
        <v>70.967570129497489</v>
      </c>
      <c r="AI10" s="548">
        <v>70.422907394356741</v>
      </c>
      <c r="AJ10" s="548"/>
      <c r="AK10" s="548">
        <v>71.763888769743687</v>
      </c>
      <c r="AL10" s="548">
        <v>71.800052142151969</v>
      </c>
      <c r="AM10" s="548">
        <v>72.028689973470222</v>
      </c>
      <c r="AN10" s="548">
        <v>74.019584640833088</v>
      </c>
      <c r="AO10" s="548"/>
      <c r="AP10" s="548">
        <v>74.773704000312719</v>
      </c>
      <c r="AQ10" s="548">
        <v>75.84646724127262</v>
      </c>
      <c r="AR10" s="548">
        <v>72.172142909009267</v>
      </c>
      <c r="AS10" s="548">
        <v>73.007911817999528</v>
      </c>
      <c r="AT10" s="638">
        <f t="shared" si="12"/>
        <v>83.296213808463264</v>
      </c>
      <c r="AU10" s="548">
        <f t="shared" si="13"/>
        <v>99.8</v>
      </c>
      <c r="AV10" s="548">
        <f t="shared" si="14"/>
        <v>98.1</v>
      </c>
      <c r="AW10" s="548" t="e">
        <f>#REF!</f>
        <v>#REF!</v>
      </c>
      <c r="AX10" s="548" t="e">
        <f>#REF!</f>
        <v>#REF!</v>
      </c>
      <c r="AY10" s="548" t="e">
        <f>#REF!</f>
        <v>#REF!</v>
      </c>
      <c r="AZ10" s="548">
        <f t="shared" si="15"/>
        <v>90.513320337881737</v>
      </c>
      <c r="BA10" s="548">
        <v>74.782886033939022</v>
      </c>
      <c r="BB10" s="548">
        <v>74.866666441328761</v>
      </c>
      <c r="BC10" s="548">
        <v>75.42687453600594</v>
      </c>
      <c r="BD10" s="548">
        <v>72.531551596139579</v>
      </c>
      <c r="BE10" s="548"/>
      <c r="BF10" s="548">
        <v>71.269487750556806</v>
      </c>
      <c r="BG10" s="548">
        <v>77.876763177431343</v>
      </c>
      <c r="BH10" s="548">
        <v>73.645137342242023</v>
      </c>
      <c r="BI10" s="548">
        <v>72.976985894580551</v>
      </c>
      <c r="BJ10" s="548"/>
      <c r="BK10" s="548">
        <v>73.570898292501866</v>
      </c>
      <c r="BL10" s="548">
        <v>77.654046028210843</v>
      </c>
      <c r="BM10" s="548">
        <v>78.619153674832972</v>
      </c>
      <c r="BN10" s="548">
        <v>80.103934669636232</v>
      </c>
      <c r="BO10" s="548"/>
      <c r="BP10" s="548">
        <v>80.029695619896074</v>
      </c>
      <c r="BQ10" s="548">
        <v>80.549368968077218</v>
      </c>
      <c r="BR10" s="548">
        <v>80.475129918337046</v>
      </c>
      <c r="BS10" s="548">
        <v>80.623608017817375</v>
      </c>
      <c r="BT10" s="548"/>
      <c r="BU10" s="548">
        <v>80.920564216778033</v>
      </c>
      <c r="BV10" s="548">
        <v>81.885671863400162</v>
      </c>
      <c r="BW10" s="548">
        <v>82.999257609502607</v>
      </c>
      <c r="BX10" s="548">
        <v>83.296213808463264</v>
      </c>
      <c r="BY10" s="548"/>
      <c r="BZ10" s="548">
        <v>84.706755753526352</v>
      </c>
      <c r="CA10" s="548">
        <v>84.780994803266523</v>
      </c>
      <c r="CB10" s="548">
        <v>98.292501855976255</v>
      </c>
      <c r="CC10" s="548">
        <v>99.8</v>
      </c>
      <c r="CD10" s="548"/>
      <c r="CE10" s="548">
        <v>99.5</v>
      </c>
      <c r="CF10" s="548">
        <v>100.6</v>
      </c>
      <c r="CG10" s="548">
        <v>100.7</v>
      </c>
      <c r="CH10" s="548">
        <v>98.1</v>
      </c>
      <c r="CI10" s="548">
        <f t="shared" si="19"/>
        <v>97.522788600422345</v>
      </c>
      <c r="CJ10" s="548">
        <v>100.62773756059366</v>
      </c>
      <c r="CK10" s="548">
        <v>99.999999999999986</v>
      </c>
      <c r="CL10" s="548">
        <v>104.5636393028343</v>
      </c>
      <c r="CM10" s="548">
        <v>104.59107845591394</v>
      </c>
      <c r="CN10" s="652">
        <v>84.780994803266523</v>
      </c>
      <c r="CO10" s="652">
        <v>89.40870695256659</v>
      </c>
      <c r="CP10" s="652">
        <v>90.188434048083167</v>
      </c>
      <c r="CQ10" s="652">
        <v>90.513320337881737</v>
      </c>
      <c r="CR10" s="652"/>
      <c r="CS10" s="652">
        <v>91.655305037596932</v>
      </c>
      <c r="CT10" s="652">
        <v>99.543817937047365</v>
      </c>
      <c r="CU10" s="652">
        <v>100.79152736673223</v>
      </c>
      <c r="CV10" s="652">
        <v>97.522788600422345</v>
      </c>
      <c r="CW10" s="548">
        <v>104.6</v>
      </c>
      <c r="CX10" s="548">
        <f t="shared" si="16"/>
        <v>0</v>
      </c>
      <c r="CY10" s="548">
        <f t="shared" si="17"/>
        <v>0</v>
      </c>
      <c r="CZ10" s="548">
        <f t="shared" si="20"/>
        <v>0</v>
      </c>
      <c r="DA10" s="548">
        <f t="shared" si="18"/>
        <v>0</v>
      </c>
      <c r="DB10" s="548">
        <v>100.16767265188979</v>
      </c>
      <c r="DC10" s="548">
        <v>101.10345472415347</v>
      </c>
      <c r="DD10" s="548">
        <v>101.27534489385506</v>
      </c>
      <c r="DE10" s="548">
        <v>100.62773756059366</v>
      </c>
      <c r="DF10" s="548"/>
      <c r="DG10" s="548">
        <v>100.16526041365906</v>
      </c>
      <c r="DH10" s="548">
        <v>99.267123424495523</v>
      </c>
      <c r="DI10" s="548">
        <v>99.999999999999986</v>
      </c>
      <c r="DJ10" s="548">
        <v>99.999999999999986</v>
      </c>
      <c r="DK10" s="548"/>
      <c r="DL10" s="548">
        <v>104.5636393028343</v>
      </c>
      <c r="DM10" s="548">
        <v>104.5636393028343</v>
      </c>
      <c r="DN10" s="548">
        <v>104.5636393028343</v>
      </c>
      <c r="DO10" s="548">
        <v>104.5636393028343</v>
      </c>
      <c r="DP10" s="548"/>
      <c r="DQ10" s="548">
        <v>104.59107845591394</v>
      </c>
      <c r="DR10" s="548">
        <v>104.59107845591394</v>
      </c>
      <c r="DS10" s="548">
        <v>104.59107845591394</v>
      </c>
      <c r="DT10" s="548">
        <v>104.59107845591394</v>
      </c>
      <c r="DU10" s="548">
        <v>104.6</v>
      </c>
      <c r="DV10" s="548">
        <v>104.6</v>
      </c>
      <c r="DW10" s="548">
        <f>[10]Database!$S$452</f>
        <v>0</v>
      </c>
      <c r="DX10" s="548">
        <f>[10]Database!$S$455</f>
        <v>0</v>
      </c>
      <c r="DY10" s="548">
        <f>[10]Database!$S$458</f>
        <v>0</v>
      </c>
      <c r="DZ10" s="548"/>
      <c r="EA10" s="548">
        <f>[10]Database!$S$461</f>
        <v>0</v>
      </c>
      <c r="EB10" s="548">
        <f>[10]Database!$S$464</f>
        <v>0</v>
      </c>
      <c r="EC10" s="548">
        <f>[10]Database!$S$467</f>
        <v>0</v>
      </c>
      <c r="ED10" s="548">
        <f>[10]Database!$S$470</f>
        <v>0</v>
      </c>
      <c r="EE10" s="548"/>
      <c r="EF10" s="548"/>
      <c r="EG10" s="548">
        <f>[10]Database!$S$473</f>
        <v>0</v>
      </c>
      <c r="EH10" s="548">
        <f>[10]Database!$S$476</f>
        <v>0</v>
      </c>
      <c r="EI10" s="548">
        <f>[10]Database!$S$479</f>
        <v>0</v>
      </c>
      <c r="EJ10" s="548">
        <f>[10]Database!$S$482</f>
        <v>0</v>
      </c>
      <c r="EK10" s="548"/>
      <c r="EL10" s="548">
        <f>[10]Database!$S$485</f>
        <v>0</v>
      </c>
      <c r="EM10" s="548">
        <f>[10]Database!$S$488</f>
        <v>0</v>
      </c>
      <c r="EN10" s="548">
        <f>[10]Database!$S$491</f>
        <v>0</v>
      </c>
      <c r="EO10" s="548">
        <f>[10]Database!$S$494</f>
        <v>0</v>
      </c>
      <c r="EP10" s="548"/>
      <c r="EQ10" s="548">
        <f>[10]Database!$S$497</f>
        <v>0</v>
      </c>
      <c r="ER10" s="548">
        <f>[10]Database!$S$500</f>
        <v>0</v>
      </c>
      <c r="ES10" s="548">
        <f>[10]Database!$S$503</f>
        <v>0</v>
      </c>
      <c r="ET10" s="548">
        <f>[10]Database!$S$506</f>
        <v>0</v>
      </c>
      <c r="EU10" s="548"/>
      <c r="EV10" s="548">
        <f>[10]Database!$S$509</f>
        <v>0</v>
      </c>
      <c r="EW10" s="548">
        <f>[10]Database!$S$512</f>
        <v>0</v>
      </c>
      <c r="EX10" s="550">
        <f>[10]Database!$S$515</f>
        <v>0</v>
      </c>
    </row>
    <row r="11" spans="1:154" ht="13.5" customHeight="1" x14ac:dyDescent="0.2">
      <c r="A11" s="551" t="s">
        <v>130</v>
      </c>
      <c r="B11" s="552">
        <f t="shared" si="1"/>
        <v>94.694471306960082</v>
      </c>
      <c r="C11" s="552">
        <f t="shared" si="2"/>
        <v>95.719357369578603</v>
      </c>
      <c r="D11" s="552">
        <f t="shared" si="3"/>
        <v>99.557499181819807</v>
      </c>
      <c r="E11" s="552">
        <f t="shared" si="4"/>
        <v>99.76980197677085</v>
      </c>
      <c r="F11" s="552">
        <f t="shared" si="5"/>
        <v>76.352999787625436</v>
      </c>
      <c r="G11" s="552">
        <f t="shared" si="6"/>
        <v>77.65147947897087</v>
      </c>
      <c r="H11" s="552">
        <f t="shared" si="7"/>
        <v>72.705118438533106</v>
      </c>
      <c r="I11" s="552">
        <f t="shared" si="8"/>
        <v>76.230769230769226</v>
      </c>
      <c r="J11" s="552">
        <f t="shared" si="9"/>
        <v>70.230769230769226</v>
      </c>
      <c r="K11" s="552">
        <f t="shared" si="10"/>
        <v>76.153846153846146</v>
      </c>
      <c r="L11" s="552">
        <f t="shared" si="11"/>
        <v>93.384615384615387</v>
      </c>
      <c r="M11" s="548">
        <v>87.02733772411942</v>
      </c>
      <c r="N11" s="548">
        <v>89.616985711163366</v>
      </c>
      <c r="O11" s="548">
        <v>94.694471306960082</v>
      </c>
      <c r="P11" s="612"/>
      <c r="Q11" s="548">
        <v>89.387299753261601</v>
      </c>
      <c r="R11" s="548">
        <v>94.837696676815369</v>
      </c>
      <c r="S11" s="548">
        <v>95.262005786905263</v>
      </c>
      <c r="T11" s="548">
        <v>95.719357369578603</v>
      </c>
      <c r="U11" s="612"/>
      <c r="V11" s="548">
        <v>96.174974756393027</v>
      </c>
      <c r="W11" s="548">
        <v>97.033889664759229</v>
      </c>
      <c r="X11" s="548">
        <v>98.278307090368372</v>
      </c>
      <c r="Y11" s="548">
        <v>99.557499181819807</v>
      </c>
      <c r="Z11" s="552"/>
      <c r="AA11" s="548">
        <v>102.54236280584902</v>
      </c>
      <c r="AB11" s="548">
        <v>101.08148722809098</v>
      </c>
      <c r="AC11" s="548">
        <v>101.1251886961108</v>
      </c>
      <c r="AD11" s="548">
        <v>99.76980197677085</v>
      </c>
      <c r="AE11" s="552"/>
      <c r="AF11" s="548">
        <v>76.993939384154757</v>
      </c>
      <c r="AG11" s="548">
        <v>75.820999332549079</v>
      </c>
      <c r="AH11" s="548">
        <v>76.413005224807861</v>
      </c>
      <c r="AI11" s="548">
        <v>76.352999787625436</v>
      </c>
      <c r="AJ11" s="548"/>
      <c r="AK11" s="548">
        <v>75.697931903299178</v>
      </c>
      <c r="AL11" s="548">
        <v>76.381678057372397</v>
      </c>
      <c r="AM11" s="548">
        <v>77.298373827293602</v>
      </c>
      <c r="AN11" s="548">
        <v>77.65147947897087</v>
      </c>
      <c r="AO11" s="548"/>
      <c r="AP11" s="548">
        <v>76.89614568356555</v>
      </c>
      <c r="AQ11" s="548">
        <v>76.196772913874682</v>
      </c>
      <c r="AR11" s="548">
        <v>72.685515118513507</v>
      </c>
      <c r="AS11" s="548">
        <v>72.705118438533106</v>
      </c>
      <c r="AT11" s="638">
        <f t="shared" si="12"/>
        <v>95.076923076923066</v>
      </c>
      <c r="AU11" s="548">
        <f t="shared" si="13"/>
        <v>100.2</v>
      </c>
      <c r="AV11" s="548">
        <f t="shared" si="14"/>
        <v>111</v>
      </c>
      <c r="AW11" s="548" t="e">
        <f>#REF!</f>
        <v>#REF!</v>
      </c>
      <c r="AX11" s="548" t="e">
        <f>#REF!</f>
        <v>#REF!</v>
      </c>
      <c r="AY11" s="548" t="e">
        <f>#REF!</f>
        <v>#REF!</v>
      </c>
      <c r="AZ11" s="548">
        <f t="shared" si="15"/>
        <v>96.131885593220332</v>
      </c>
      <c r="BA11" s="548">
        <v>74.558420668642739</v>
      </c>
      <c r="BB11" s="548">
        <v>75.207452108991959</v>
      </c>
      <c r="BC11" s="548">
        <v>74.307692307692307</v>
      </c>
      <c r="BD11" s="548">
        <v>76.230769230769226</v>
      </c>
      <c r="BE11" s="548"/>
      <c r="BF11" s="548">
        <v>73.692307692307693</v>
      </c>
      <c r="BG11" s="548">
        <v>72.461538461538467</v>
      </c>
      <c r="BH11" s="548">
        <v>70.461538461538453</v>
      </c>
      <c r="BI11" s="548">
        <v>70.230769230769226</v>
      </c>
      <c r="BJ11" s="548"/>
      <c r="BK11" s="548">
        <v>72.230769230769226</v>
      </c>
      <c r="BL11" s="548">
        <v>71.615384615384613</v>
      </c>
      <c r="BM11" s="548">
        <v>73.615384615384613</v>
      </c>
      <c r="BN11" s="548">
        <v>76.153846153846146</v>
      </c>
      <c r="BO11" s="548"/>
      <c r="BP11" s="548">
        <v>77.692307692307693</v>
      </c>
      <c r="BQ11" s="548">
        <v>83.692307692307693</v>
      </c>
      <c r="BR11" s="548">
        <v>89</v>
      </c>
      <c r="BS11" s="548">
        <v>93.384615384615387</v>
      </c>
      <c r="BT11" s="548"/>
      <c r="BU11" s="548">
        <v>92.84615384615384</v>
      </c>
      <c r="BV11" s="548">
        <v>94.384615384615387</v>
      </c>
      <c r="BW11" s="548">
        <v>95.230769230769226</v>
      </c>
      <c r="BX11" s="548">
        <v>95.076923076923066</v>
      </c>
      <c r="BY11" s="548"/>
      <c r="BZ11" s="548">
        <v>89.384615384615387</v>
      </c>
      <c r="CA11" s="548">
        <v>93.692307692307679</v>
      </c>
      <c r="CB11" s="548">
        <v>94.692307692307693</v>
      </c>
      <c r="CC11" s="548">
        <v>100.2</v>
      </c>
      <c r="CD11" s="548"/>
      <c r="CE11" s="548">
        <v>104.7</v>
      </c>
      <c r="CF11" s="548">
        <v>110.5</v>
      </c>
      <c r="CG11" s="548">
        <v>106.7</v>
      </c>
      <c r="CH11" s="548">
        <v>111</v>
      </c>
      <c r="CI11" s="548">
        <f t="shared" si="19"/>
        <v>106.08034976667309</v>
      </c>
      <c r="CJ11" s="548">
        <v>97.982884672663488</v>
      </c>
      <c r="CK11" s="548">
        <v>102.34167316893648</v>
      </c>
      <c r="CL11" s="548">
        <v>111.31800963594577</v>
      </c>
      <c r="CM11" s="548">
        <v>113.22031382521131</v>
      </c>
      <c r="CN11" s="652">
        <v>93.692307692307679</v>
      </c>
      <c r="CO11" s="652">
        <v>84.790783898305079</v>
      </c>
      <c r="CP11" s="652">
        <v>93.564088983050837</v>
      </c>
      <c r="CQ11" s="652">
        <v>96.131885593220332</v>
      </c>
      <c r="CR11" s="652"/>
      <c r="CS11" s="652">
        <v>101.15882068017083</v>
      </c>
      <c r="CT11" s="652">
        <v>108.98512182533688</v>
      </c>
      <c r="CU11" s="652">
        <v>116.13203797704013</v>
      </c>
      <c r="CV11" s="652">
        <v>106.08034976667309</v>
      </c>
      <c r="CW11" s="548">
        <v>112.3</v>
      </c>
      <c r="CX11" s="548">
        <f t="shared" si="16"/>
        <v>0</v>
      </c>
      <c r="CY11" s="548">
        <f t="shared" si="17"/>
        <v>0</v>
      </c>
      <c r="CZ11" s="548">
        <f t="shared" si="20"/>
        <v>0</v>
      </c>
      <c r="DA11" s="548">
        <f t="shared" si="18"/>
        <v>0</v>
      </c>
      <c r="DB11" s="548">
        <v>92.294718836329352</v>
      </c>
      <c r="DC11" s="548">
        <v>94.343572792992788</v>
      </c>
      <c r="DD11" s="548">
        <v>98.843117136846757</v>
      </c>
      <c r="DE11" s="548">
        <v>97.982884672663488</v>
      </c>
      <c r="DF11" s="548"/>
      <c r="DG11" s="548">
        <v>99.341763254198284</v>
      </c>
      <c r="DH11" s="548">
        <v>100.78880514488083</v>
      </c>
      <c r="DI11" s="548">
        <v>100.99530715586232</v>
      </c>
      <c r="DJ11" s="548">
        <v>102.34167316893648</v>
      </c>
      <c r="DK11" s="548"/>
      <c r="DL11" s="548">
        <v>111.96248804628647</v>
      </c>
      <c r="DM11" s="548">
        <v>116.87170981529536</v>
      </c>
      <c r="DN11" s="548">
        <v>111.16710406120356</v>
      </c>
      <c r="DO11" s="548">
        <v>111.31800963594577</v>
      </c>
      <c r="DP11" s="548"/>
      <c r="DQ11" s="548">
        <v>113.22024389293841</v>
      </c>
      <c r="DR11" s="548">
        <v>114.28034124360468</v>
      </c>
      <c r="DS11" s="548">
        <v>112.20507346157774</v>
      </c>
      <c r="DT11" s="548">
        <v>113.22031382521131</v>
      </c>
      <c r="DU11" s="548">
        <v>115.1</v>
      </c>
      <c r="DV11" s="548">
        <v>115.1</v>
      </c>
      <c r="DW11" s="548">
        <f>[10]Database!$V$452</f>
        <v>0</v>
      </c>
      <c r="DX11" s="548">
        <f>[10]Database!$V$455</f>
        <v>0</v>
      </c>
      <c r="DY11" s="548">
        <f>[10]Database!$V$458</f>
        <v>0</v>
      </c>
      <c r="DZ11" s="548"/>
      <c r="EA11" s="548">
        <f>[10]Database!$V$461</f>
        <v>0</v>
      </c>
      <c r="EB11" s="548">
        <f>[10]Database!$V$464</f>
        <v>0</v>
      </c>
      <c r="EC11" s="548">
        <f>[10]Database!$V$467</f>
        <v>0</v>
      </c>
      <c r="ED11" s="548">
        <f>[10]Database!$V$470</f>
        <v>0</v>
      </c>
      <c r="EE11" s="548"/>
      <c r="EF11" s="548"/>
      <c r="EG11" s="548">
        <f>[10]Database!$V$473</f>
        <v>0</v>
      </c>
      <c r="EH11" s="548">
        <f>[10]Database!$V$476</f>
        <v>0</v>
      </c>
      <c r="EI11" s="548">
        <f>[10]Database!$V$479</f>
        <v>0</v>
      </c>
      <c r="EJ11" s="548">
        <f>[10]Database!$V$482</f>
        <v>0</v>
      </c>
      <c r="EK11" s="548"/>
      <c r="EL11" s="548">
        <f>[10]Database!$V$485</f>
        <v>0</v>
      </c>
      <c r="EM11" s="548">
        <f>[10]Database!$V$488</f>
        <v>0</v>
      </c>
      <c r="EN11" s="548">
        <f>[10]Database!$V$491</f>
        <v>0</v>
      </c>
      <c r="EO11" s="548">
        <f>[10]Database!$V$494</f>
        <v>0</v>
      </c>
      <c r="EP11" s="548"/>
      <c r="EQ11" s="548">
        <f>[10]Database!$V$497</f>
        <v>0</v>
      </c>
      <c r="ER11" s="548">
        <f>[10]Database!$V$500</f>
        <v>0</v>
      </c>
      <c r="ES11" s="548">
        <f>[10]Database!$V$503</f>
        <v>0</v>
      </c>
      <c r="ET11" s="548">
        <f>[10]Database!$V$506</f>
        <v>0</v>
      </c>
      <c r="EU11" s="548"/>
      <c r="EV11" s="548">
        <f>[10]Database!$V$509</f>
        <v>0</v>
      </c>
      <c r="EW11" s="548">
        <f>[10]Database!$V$512</f>
        <v>0</v>
      </c>
      <c r="EX11" s="550">
        <f>[10]Database!$V$515</f>
        <v>0</v>
      </c>
    </row>
    <row r="12" spans="1:154" ht="13.5" customHeight="1" x14ac:dyDescent="0.2">
      <c r="A12" s="551" t="s">
        <v>131</v>
      </c>
      <c r="B12" s="552">
        <f t="shared" si="1"/>
        <v>81.766650629484076</v>
      </c>
      <c r="C12" s="552">
        <f t="shared" si="2"/>
        <v>85.40809193398394</v>
      </c>
      <c r="D12" s="552">
        <f t="shared" si="3"/>
        <v>91.708740469483345</v>
      </c>
      <c r="E12" s="552">
        <f t="shared" si="4"/>
        <v>92.698625522414702</v>
      </c>
      <c r="F12" s="552">
        <f t="shared" si="5"/>
        <v>59.554089953401167</v>
      </c>
      <c r="G12" s="552">
        <f t="shared" si="6"/>
        <v>61.617987424441047</v>
      </c>
      <c r="H12" s="552">
        <f t="shared" si="7"/>
        <v>62.791081707438742</v>
      </c>
      <c r="I12" s="552">
        <f t="shared" si="8"/>
        <v>64.312039312039303</v>
      </c>
      <c r="J12" s="552">
        <f t="shared" si="9"/>
        <v>65.110565110565105</v>
      </c>
      <c r="K12" s="552">
        <f t="shared" si="10"/>
        <v>79.054054054054049</v>
      </c>
      <c r="L12" s="552">
        <f t="shared" si="11"/>
        <v>93.734643734643726</v>
      </c>
      <c r="M12" s="548">
        <v>67.199310179725131</v>
      </c>
      <c r="N12" s="548">
        <v>82.514892149771882</v>
      </c>
      <c r="O12" s="548">
        <v>81.766650629484076</v>
      </c>
      <c r="P12" s="612"/>
      <c r="Q12" s="548">
        <v>85.207767182368244</v>
      </c>
      <c r="R12" s="548">
        <v>84.614417277386167</v>
      </c>
      <c r="S12" s="548">
        <v>85.541087815442566</v>
      </c>
      <c r="T12" s="548">
        <v>85.40809193398394</v>
      </c>
      <c r="U12" s="612"/>
      <c r="V12" s="548">
        <v>87.019883940601233</v>
      </c>
      <c r="W12" s="548">
        <v>90.881217813343468</v>
      </c>
      <c r="X12" s="548">
        <v>90.491824700060533</v>
      </c>
      <c r="Y12" s="548">
        <v>91.708740469483345</v>
      </c>
      <c r="Z12" s="552"/>
      <c r="AA12" s="548">
        <v>92.630170671256295</v>
      </c>
      <c r="AB12" s="548">
        <v>92.550340641186821</v>
      </c>
      <c r="AC12" s="548">
        <v>92.740068792293869</v>
      </c>
      <c r="AD12" s="548">
        <v>92.698625522414702</v>
      </c>
      <c r="AE12" s="552"/>
      <c r="AF12" s="548">
        <v>58.506310315821153</v>
      </c>
      <c r="AG12" s="548">
        <v>59.273534519147496</v>
      </c>
      <c r="AH12" s="548">
        <v>60.489279598014846</v>
      </c>
      <c r="AI12" s="548">
        <v>59.554089953401167</v>
      </c>
      <c r="AJ12" s="548"/>
      <c r="AK12" s="548">
        <v>59.384722480854947</v>
      </c>
      <c r="AL12" s="548">
        <v>60.360005230190318</v>
      </c>
      <c r="AM12" s="548">
        <v>61.298393649499502</v>
      </c>
      <c r="AN12" s="548">
        <v>61.617987424441047</v>
      </c>
      <c r="AO12" s="548"/>
      <c r="AP12" s="548">
        <v>61.712666842536571</v>
      </c>
      <c r="AQ12" s="548">
        <v>62.393134223464287</v>
      </c>
      <c r="AR12" s="548">
        <v>62.957236335470803</v>
      </c>
      <c r="AS12" s="548">
        <v>62.791081707438742</v>
      </c>
      <c r="AT12" s="638">
        <f t="shared" si="12"/>
        <v>96.253071253071241</v>
      </c>
      <c r="AU12" s="548">
        <f t="shared" si="13"/>
        <v>100</v>
      </c>
      <c r="AV12" s="548">
        <f t="shared" si="14"/>
        <v>147.19999999999999</v>
      </c>
      <c r="AW12" s="548" t="e">
        <f>#REF!</f>
        <v>#REF!</v>
      </c>
      <c r="AX12" s="548" t="e">
        <f>#REF!</f>
        <v>#REF!</v>
      </c>
      <c r="AY12" s="548" t="e">
        <f>#REF!</f>
        <v>#REF!</v>
      </c>
      <c r="AZ12" s="548">
        <f t="shared" si="15"/>
        <v>75.965930599369088</v>
      </c>
      <c r="BA12" s="548">
        <v>63.676456202003109</v>
      </c>
      <c r="BB12" s="548">
        <v>64.374481676555632</v>
      </c>
      <c r="BC12" s="548">
        <v>64.680589680589677</v>
      </c>
      <c r="BD12" s="548">
        <v>64.312039312039303</v>
      </c>
      <c r="BE12" s="548"/>
      <c r="BF12" s="548">
        <v>62.653562653562645</v>
      </c>
      <c r="BG12" s="548">
        <v>74.754299754299751</v>
      </c>
      <c r="BH12" s="548">
        <v>68.673218673218656</v>
      </c>
      <c r="BI12" s="548">
        <v>65.110565110565105</v>
      </c>
      <c r="BJ12" s="548"/>
      <c r="BK12" s="548">
        <v>64.680589680589677</v>
      </c>
      <c r="BL12" s="548">
        <v>65.847665847665851</v>
      </c>
      <c r="BM12" s="548">
        <v>67.321867321867316</v>
      </c>
      <c r="BN12" s="548">
        <v>79.054054054054049</v>
      </c>
      <c r="BO12" s="548"/>
      <c r="BP12" s="548">
        <v>91.707616707616708</v>
      </c>
      <c r="BQ12" s="548">
        <v>91.953316953316943</v>
      </c>
      <c r="BR12" s="548">
        <v>92.014742014742012</v>
      </c>
      <c r="BS12" s="548">
        <v>93.734643734643726</v>
      </c>
      <c r="BT12" s="548"/>
      <c r="BU12" s="548">
        <v>94.656019656019637</v>
      </c>
      <c r="BV12" s="548">
        <v>93.918918918918919</v>
      </c>
      <c r="BW12" s="548">
        <v>95.085995085995094</v>
      </c>
      <c r="BX12" s="548">
        <v>96.253071253071241</v>
      </c>
      <c r="BY12" s="548"/>
      <c r="BZ12" s="548">
        <v>96.375921375921365</v>
      </c>
      <c r="CA12" s="548">
        <v>96.683046683046683</v>
      </c>
      <c r="CB12" s="548">
        <v>100</v>
      </c>
      <c r="CC12" s="548">
        <v>100</v>
      </c>
      <c r="CD12" s="548"/>
      <c r="CE12" s="548">
        <v>105.3</v>
      </c>
      <c r="CF12" s="548">
        <v>113.6</v>
      </c>
      <c r="CG12" s="548">
        <v>134.80000000000001</v>
      </c>
      <c r="CH12" s="548">
        <v>147.19999999999999</v>
      </c>
      <c r="CI12" s="548">
        <f t="shared" si="19"/>
        <v>82.121475675960951</v>
      </c>
      <c r="CJ12" s="548">
        <v>80.985556679452927</v>
      </c>
      <c r="CK12" s="548">
        <v>100.43837165522062</v>
      </c>
      <c r="CL12" s="548">
        <v>102.22644671169201</v>
      </c>
      <c r="CM12" s="548">
        <v>102.40797264254358</v>
      </c>
      <c r="CN12" s="652">
        <v>96.683046683046683</v>
      </c>
      <c r="CO12" s="652">
        <v>71.63533123028391</v>
      </c>
      <c r="CP12" s="652">
        <v>73.800630914826485</v>
      </c>
      <c r="CQ12" s="652">
        <v>75.965930599369088</v>
      </c>
      <c r="CR12" s="652"/>
      <c r="CS12" s="652">
        <v>76.296585554667317</v>
      </c>
      <c r="CT12" s="652">
        <v>76.540229293280674</v>
      </c>
      <c r="CU12" s="652">
        <v>82.495965126051871</v>
      </c>
      <c r="CV12" s="652">
        <v>82.121475675960951</v>
      </c>
      <c r="CW12" s="548">
        <v>100.4</v>
      </c>
      <c r="CX12" s="548">
        <f t="shared" si="16"/>
        <v>0</v>
      </c>
      <c r="CY12" s="548">
        <f t="shared" si="17"/>
        <v>0</v>
      </c>
      <c r="CZ12" s="548">
        <f t="shared" si="20"/>
        <v>0</v>
      </c>
      <c r="DA12" s="548">
        <f t="shared" si="18"/>
        <v>0</v>
      </c>
      <c r="DB12" s="548">
        <v>83.867589136023398</v>
      </c>
      <c r="DC12" s="548">
        <v>84.088673269209593</v>
      </c>
      <c r="DD12" s="548">
        <v>82.251596772912166</v>
      </c>
      <c r="DE12" s="548">
        <v>80.985556679452927</v>
      </c>
      <c r="DF12" s="548"/>
      <c r="DG12" s="548">
        <v>87.47466745857011</v>
      </c>
      <c r="DH12" s="548">
        <v>87.452056868434681</v>
      </c>
      <c r="DI12" s="548">
        <v>100.13089576854259</v>
      </c>
      <c r="DJ12" s="548">
        <v>100.43837165522062</v>
      </c>
      <c r="DK12" s="548"/>
      <c r="DL12" s="548">
        <v>100.62495688173703</v>
      </c>
      <c r="DM12" s="548">
        <v>101.28460462499716</v>
      </c>
      <c r="DN12" s="548">
        <v>102.2360443911666</v>
      </c>
      <c r="DO12" s="548">
        <v>102.22644671169201</v>
      </c>
      <c r="DP12" s="548"/>
      <c r="DQ12" s="548">
        <v>102.96973174662314</v>
      </c>
      <c r="DR12" s="548">
        <v>101.94347851316356</v>
      </c>
      <c r="DS12" s="548">
        <v>102.02089420139355</v>
      </c>
      <c r="DT12" s="548">
        <v>102.40797264254358</v>
      </c>
      <c r="DU12" s="548">
        <v>99.1</v>
      </c>
      <c r="DV12" s="548">
        <v>99.1</v>
      </c>
      <c r="DW12" s="548">
        <f>[10]Database!$Y$452</f>
        <v>0</v>
      </c>
      <c r="DX12" s="548">
        <f>[10]Database!$Y$455</f>
        <v>0</v>
      </c>
      <c r="DY12" s="548">
        <f>[10]Database!$Y$458</f>
        <v>0</v>
      </c>
      <c r="DZ12" s="548"/>
      <c r="EA12" s="548">
        <f>[10]Database!$Y$461</f>
        <v>0</v>
      </c>
      <c r="EB12" s="548">
        <f>[10]Database!$Y$464</f>
        <v>0</v>
      </c>
      <c r="EC12" s="548">
        <f>[10]Database!$Y$467</f>
        <v>0</v>
      </c>
      <c r="ED12" s="548">
        <f>[10]Database!$Y$470</f>
        <v>0</v>
      </c>
      <c r="EE12" s="548"/>
      <c r="EF12" s="548"/>
      <c r="EG12" s="548">
        <f>[10]Database!$Y$473</f>
        <v>0</v>
      </c>
      <c r="EH12" s="548">
        <f>[10]Database!$Y$476</f>
        <v>0</v>
      </c>
      <c r="EI12" s="548">
        <f>[10]Database!$Y$479</f>
        <v>0</v>
      </c>
      <c r="EJ12" s="548">
        <f>[10]Database!$Y$482</f>
        <v>0</v>
      </c>
      <c r="EK12" s="548"/>
      <c r="EL12" s="548">
        <f>[10]Database!$Y$485</f>
        <v>0</v>
      </c>
      <c r="EM12" s="548">
        <f>[10]Database!$Y$488</f>
        <v>0</v>
      </c>
      <c r="EN12" s="548">
        <f>[10]Database!$Y$491</f>
        <v>0</v>
      </c>
      <c r="EO12" s="548">
        <f>[10]Database!$Y$494</f>
        <v>0</v>
      </c>
      <c r="EP12" s="548"/>
      <c r="EQ12" s="548">
        <f>[10]Database!$Y$497</f>
        <v>0</v>
      </c>
      <c r="ER12" s="548">
        <f>[10]Database!$Y$500</f>
        <v>0</v>
      </c>
      <c r="ES12" s="548">
        <f>[10]Database!$Y$503</f>
        <v>0</v>
      </c>
      <c r="ET12" s="548">
        <f>[10]Database!$Y$506</f>
        <v>0</v>
      </c>
      <c r="EU12" s="548"/>
      <c r="EV12" s="548">
        <f>[10]Database!$Y$509</f>
        <v>0</v>
      </c>
      <c r="EW12" s="548">
        <f>[10]Database!$Y$512</f>
        <v>0</v>
      </c>
      <c r="EX12" s="550">
        <f>[10]Database!$Y$515</f>
        <v>0</v>
      </c>
    </row>
    <row r="13" spans="1:154" ht="13.5" customHeight="1" x14ac:dyDescent="0.2">
      <c r="A13" s="551" t="s">
        <v>132</v>
      </c>
      <c r="B13" s="552">
        <f t="shared" si="1"/>
        <v>90.066474313047834</v>
      </c>
      <c r="C13" s="552">
        <f t="shared" si="2"/>
        <v>97.520622490667236</v>
      </c>
      <c r="D13" s="552">
        <f t="shared" si="3"/>
        <v>95.167593259689241</v>
      </c>
      <c r="E13" s="552">
        <f t="shared" si="4"/>
        <v>106.79439098836463</v>
      </c>
      <c r="F13" s="552">
        <f t="shared" si="5"/>
        <v>72.238952758884892</v>
      </c>
      <c r="G13" s="552">
        <f t="shared" si="6"/>
        <v>70.674123015479282</v>
      </c>
      <c r="H13" s="552">
        <f t="shared" si="7"/>
        <v>71.66822984575596</v>
      </c>
      <c r="I13" s="552">
        <f t="shared" si="8"/>
        <v>75.69296375266525</v>
      </c>
      <c r="J13" s="552">
        <f t="shared" si="9"/>
        <v>76.261549395877765</v>
      </c>
      <c r="K13" s="552">
        <f t="shared" si="10"/>
        <v>85.714285714285722</v>
      </c>
      <c r="L13" s="552">
        <f t="shared" si="11"/>
        <v>90.049751243781103</v>
      </c>
      <c r="M13" s="548">
        <v>75.641794571000503</v>
      </c>
      <c r="N13" s="548">
        <v>92.043697165328325</v>
      </c>
      <c r="O13" s="548">
        <v>90.066474313047834</v>
      </c>
      <c r="P13" s="612"/>
      <c r="Q13" s="548">
        <v>95.324652633235303</v>
      </c>
      <c r="R13" s="548">
        <v>93.667485163777954</v>
      </c>
      <c r="S13" s="548">
        <v>96.315709414305132</v>
      </c>
      <c r="T13" s="548">
        <v>97.520622490667236</v>
      </c>
      <c r="U13" s="612"/>
      <c r="V13" s="548">
        <v>96.861635002814978</v>
      </c>
      <c r="W13" s="548">
        <v>98.359318534437122</v>
      </c>
      <c r="X13" s="548">
        <v>96.854809206966152</v>
      </c>
      <c r="Y13" s="548">
        <v>95.167593259689241</v>
      </c>
      <c r="Z13" s="552"/>
      <c r="AA13" s="548">
        <v>104.89273873100886</v>
      </c>
      <c r="AB13" s="548">
        <v>99.55956779703908</v>
      </c>
      <c r="AC13" s="548">
        <v>106.07728557312177</v>
      </c>
      <c r="AD13" s="548">
        <v>106.79439098836463</v>
      </c>
      <c r="AE13" s="552"/>
      <c r="AF13" s="548">
        <v>76.137527289814386</v>
      </c>
      <c r="AG13" s="548">
        <v>72.536851321263342</v>
      </c>
      <c r="AH13" s="548">
        <v>72.038257731005004</v>
      </c>
      <c r="AI13" s="548">
        <v>72.238952758884892</v>
      </c>
      <c r="AJ13" s="548"/>
      <c r="AK13" s="548">
        <v>74.979070365270388</v>
      </c>
      <c r="AL13" s="548">
        <v>72.257372446860131</v>
      </c>
      <c r="AM13" s="548">
        <v>71.244306177041011</v>
      </c>
      <c r="AN13" s="548">
        <v>70.674123015479282</v>
      </c>
      <c r="AO13" s="548"/>
      <c r="AP13" s="548">
        <v>71.230287814121894</v>
      </c>
      <c r="AQ13" s="548">
        <v>71.363783898049434</v>
      </c>
      <c r="AR13" s="548">
        <v>71.842785762335467</v>
      </c>
      <c r="AS13" s="548">
        <v>71.66822984575596</v>
      </c>
      <c r="AT13" s="638">
        <f t="shared" si="12"/>
        <v>92.181947405827998</v>
      </c>
      <c r="AU13" s="548">
        <f t="shared" si="13"/>
        <v>101.2</v>
      </c>
      <c r="AV13" s="548">
        <f t="shared" si="14"/>
        <v>104.7</v>
      </c>
      <c r="AW13" s="548" t="e">
        <f>#REF!</f>
        <v>#REF!</v>
      </c>
      <c r="AX13" s="548" t="e">
        <f>#REF!</f>
        <v>#REF!</v>
      </c>
      <c r="AY13" s="548" t="e">
        <f>#REF!</f>
        <v>#REF!</v>
      </c>
      <c r="AZ13" s="548">
        <f t="shared" si="15"/>
        <v>94.830056179775283</v>
      </c>
      <c r="BA13" s="548">
        <v>75.162096507042335</v>
      </c>
      <c r="BB13" s="548">
        <v>74.706614827218999</v>
      </c>
      <c r="BC13" s="548">
        <v>75.408670931058992</v>
      </c>
      <c r="BD13" s="548">
        <v>75.69296375266525</v>
      </c>
      <c r="BE13" s="548"/>
      <c r="BF13" s="548">
        <v>74.626865671641795</v>
      </c>
      <c r="BG13" s="548">
        <v>77.540867093105902</v>
      </c>
      <c r="BH13" s="548">
        <v>76.474769012082447</v>
      </c>
      <c r="BI13" s="548">
        <v>76.261549395877765</v>
      </c>
      <c r="BJ13" s="548"/>
      <c r="BK13" s="548">
        <v>82.65813788201848</v>
      </c>
      <c r="BL13" s="548">
        <v>82.373845060412236</v>
      </c>
      <c r="BM13" s="548">
        <v>84.648187633262268</v>
      </c>
      <c r="BN13" s="548">
        <v>85.714285714285722</v>
      </c>
      <c r="BO13" s="548"/>
      <c r="BP13" s="548">
        <v>88.415067519545147</v>
      </c>
      <c r="BQ13" s="548">
        <v>89.410092395167027</v>
      </c>
      <c r="BR13" s="548">
        <v>89.836531627576406</v>
      </c>
      <c r="BS13" s="548">
        <v>90.049751243781103</v>
      </c>
      <c r="BT13" s="548"/>
      <c r="BU13" s="548">
        <v>89.978678038379527</v>
      </c>
      <c r="BV13" s="548">
        <v>90.120824449182663</v>
      </c>
      <c r="BW13" s="548">
        <v>91.82658137882018</v>
      </c>
      <c r="BX13" s="548">
        <v>92.181947405827998</v>
      </c>
      <c r="BY13" s="548"/>
      <c r="BZ13" s="548">
        <v>95.238095238095241</v>
      </c>
      <c r="CA13" s="548">
        <v>95.380241648898362</v>
      </c>
      <c r="CB13" s="548">
        <v>98.152096659559348</v>
      </c>
      <c r="CC13" s="548">
        <v>101.2</v>
      </c>
      <c r="CD13" s="548"/>
      <c r="CE13" s="548">
        <v>103.3</v>
      </c>
      <c r="CF13" s="548">
        <v>103.1</v>
      </c>
      <c r="CG13" s="548">
        <v>105.8</v>
      </c>
      <c r="CH13" s="548">
        <v>104.7</v>
      </c>
      <c r="CI13" s="548">
        <f t="shared" si="19"/>
        <v>101.67390972008343</v>
      </c>
      <c r="CJ13" s="548">
        <v>105.22403195709947</v>
      </c>
      <c r="CK13" s="548">
        <v>99.385299936426179</v>
      </c>
      <c r="CL13" s="548">
        <v>101.99306408823986</v>
      </c>
      <c r="CM13" s="548">
        <v>101.76212406183969</v>
      </c>
      <c r="CN13" s="652">
        <v>95.309168443496802</v>
      </c>
      <c r="CO13" s="652">
        <v>93.701966292134841</v>
      </c>
      <c r="CP13" s="652">
        <v>93.772471910112358</v>
      </c>
      <c r="CQ13" s="652">
        <v>94.830056179775283</v>
      </c>
      <c r="CR13" s="652"/>
      <c r="CS13" s="652">
        <v>102.86501541415616</v>
      </c>
      <c r="CT13" s="652">
        <v>102.42804172757326</v>
      </c>
      <c r="CU13" s="652">
        <v>102.82977560072209</v>
      </c>
      <c r="CV13" s="652">
        <v>101.67390972008343</v>
      </c>
      <c r="CW13" s="548">
        <v>102.6</v>
      </c>
      <c r="CX13" s="548">
        <f t="shared" si="16"/>
        <v>0</v>
      </c>
      <c r="CY13" s="548">
        <f t="shared" si="17"/>
        <v>0</v>
      </c>
      <c r="CZ13" s="548">
        <f t="shared" si="20"/>
        <v>0</v>
      </c>
      <c r="DA13" s="548">
        <f t="shared" si="18"/>
        <v>0</v>
      </c>
      <c r="DB13" s="548">
        <v>101.7655332350121</v>
      </c>
      <c r="DC13" s="548">
        <v>104.89482866796075</v>
      </c>
      <c r="DD13" s="548">
        <v>105.72209526986296</v>
      </c>
      <c r="DE13" s="548">
        <v>105.22403195709947</v>
      </c>
      <c r="DF13" s="548"/>
      <c r="DG13" s="548">
        <v>99.133632263167968</v>
      </c>
      <c r="DH13" s="548">
        <v>99.238055583132166</v>
      </c>
      <c r="DI13" s="548">
        <v>100.35447331181645</v>
      </c>
      <c r="DJ13" s="548">
        <v>99.385299936426179</v>
      </c>
      <c r="DK13" s="548"/>
      <c r="DL13" s="548">
        <v>100.83597087943947</v>
      </c>
      <c r="DM13" s="548">
        <v>102.09997891384968</v>
      </c>
      <c r="DN13" s="548">
        <v>102.43505226351883</v>
      </c>
      <c r="DO13" s="548">
        <v>101.99306408823986</v>
      </c>
      <c r="DP13" s="548"/>
      <c r="DQ13" s="548">
        <v>102.17026744043844</v>
      </c>
      <c r="DR13" s="548">
        <v>102.26053256341561</v>
      </c>
      <c r="DS13" s="548">
        <v>102.31363135963181</v>
      </c>
      <c r="DT13" s="548">
        <v>101.76212406183969</v>
      </c>
      <c r="DU13" s="548">
        <v>102.5</v>
      </c>
      <c r="DV13" s="548">
        <v>102.5</v>
      </c>
      <c r="DW13" s="548">
        <f>[10]Database!$AC$452</f>
        <v>0</v>
      </c>
      <c r="DX13" s="548">
        <f>[10]Database!$AC$455</f>
        <v>0</v>
      </c>
      <c r="DY13" s="548">
        <f>[10]Database!$AC$458</f>
        <v>0</v>
      </c>
      <c r="DZ13" s="548"/>
      <c r="EA13" s="548">
        <f>[10]Database!$AC$461</f>
        <v>0</v>
      </c>
      <c r="EB13" s="548">
        <f>[10]Database!$AC$464</f>
        <v>0</v>
      </c>
      <c r="EC13" s="548">
        <f>[10]Database!$AC$467</f>
        <v>0</v>
      </c>
      <c r="ED13" s="548">
        <f>[10]Database!$AC$470</f>
        <v>0</v>
      </c>
      <c r="EE13" s="548"/>
      <c r="EF13" s="548"/>
      <c r="EG13" s="548">
        <f>[10]Database!$AC$473</f>
        <v>0</v>
      </c>
      <c r="EH13" s="548">
        <f>[10]Database!$AC$476</f>
        <v>0</v>
      </c>
      <c r="EI13" s="548">
        <f>[10]Database!$AC$479</f>
        <v>0</v>
      </c>
      <c r="EJ13" s="548">
        <f>[10]Database!$AC$482</f>
        <v>0</v>
      </c>
      <c r="EK13" s="548"/>
      <c r="EL13" s="548">
        <f>[10]Database!$AC$485</f>
        <v>0</v>
      </c>
      <c r="EM13" s="548">
        <f>[10]Database!$AC$488</f>
        <v>0</v>
      </c>
      <c r="EN13" s="548">
        <f>[10]Database!$AC$491</f>
        <v>0</v>
      </c>
      <c r="EO13" s="548">
        <f>[10]Database!$AC$494</f>
        <v>0</v>
      </c>
      <c r="EP13" s="548"/>
      <c r="EQ13" s="548">
        <f>[10]Database!$AC$497</f>
        <v>0</v>
      </c>
      <c r="ER13" s="548">
        <f>[10]Database!$AC$500</f>
        <v>0</v>
      </c>
      <c r="ES13" s="548">
        <f>[10]Database!$AC$503</f>
        <v>0</v>
      </c>
      <c r="ET13" s="548">
        <f>[10]Database!$AC$506</f>
        <v>0</v>
      </c>
      <c r="EU13" s="548"/>
      <c r="EV13" s="548">
        <f>[10]Database!$AC$509</f>
        <v>0</v>
      </c>
      <c r="EW13" s="548">
        <f>[10]Database!$AC$512</f>
        <v>0</v>
      </c>
      <c r="EX13" s="550">
        <f>[10]Database!$AC$515</f>
        <v>0</v>
      </c>
    </row>
    <row r="14" spans="1:154" ht="13.5" customHeight="1" x14ac:dyDescent="0.2">
      <c r="A14" s="680" t="s">
        <v>144</v>
      </c>
      <c r="B14" s="552">
        <f t="shared" si="1"/>
        <v>82.559800069716076</v>
      </c>
      <c r="C14" s="552">
        <f t="shared" si="2"/>
        <v>91.868527527761017</v>
      </c>
      <c r="D14" s="552">
        <f t="shared" si="3"/>
        <v>91.854421756051153</v>
      </c>
      <c r="E14" s="552">
        <f t="shared" si="4"/>
        <v>102.14665680443693</v>
      </c>
      <c r="F14" s="552">
        <f t="shared" si="5"/>
        <v>70.527787536072665</v>
      </c>
      <c r="G14" s="552">
        <f t="shared" si="6"/>
        <v>72.055449200584732</v>
      </c>
      <c r="H14" s="552">
        <f t="shared" si="7"/>
        <v>71.96895477109841</v>
      </c>
      <c r="I14" s="552">
        <f t="shared" si="8"/>
        <v>78.591549295774641</v>
      </c>
      <c r="J14" s="552">
        <f t="shared" si="9"/>
        <v>82.183098591549296</v>
      </c>
      <c r="K14" s="552">
        <f t="shared" si="10"/>
        <v>81.126760563380287</v>
      </c>
      <c r="L14" s="552">
        <f t="shared" si="11"/>
        <v>88.732394366197184</v>
      </c>
      <c r="M14" s="548">
        <v>72.102248014809405</v>
      </c>
      <c r="N14" s="548">
        <v>78.400357832948785</v>
      </c>
      <c r="O14" s="548">
        <v>82.559800069716076</v>
      </c>
      <c r="P14" s="612"/>
      <c r="Q14" s="548">
        <v>81.496717470774243</v>
      </c>
      <c r="R14" s="548">
        <v>85.154112560812095</v>
      </c>
      <c r="S14" s="548">
        <v>87.542446515465116</v>
      </c>
      <c r="T14" s="548">
        <v>91.868527527761017</v>
      </c>
      <c r="U14" s="612"/>
      <c r="V14" s="548">
        <v>98.666968373900872</v>
      </c>
      <c r="W14" s="548">
        <v>96.346565306002347</v>
      </c>
      <c r="X14" s="548">
        <v>98.517759136453975</v>
      </c>
      <c r="Y14" s="548">
        <v>91.854421756051153</v>
      </c>
      <c r="Z14" s="552"/>
      <c r="AA14" s="548">
        <v>94.862892832625661</v>
      </c>
      <c r="AB14" s="548">
        <v>87.707433083716609</v>
      </c>
      <c r="AC14" s="548">
        <v>99.399755058717801</v>
      </c>
      <c r="AD14" s="548">
        <v>102.14665680443693</v>
      </c>
      <c r="AE14" s="552"/>
      <c r="AF14" s="548">
        <v>67.016845128637698</v>
      </c>
      <c r="AG14" s="548">
        <v>73.017109871316563</v>
      </c>
      <c r="AH14" s="548">
        <v>73.039514998433305</v>
      </c>
      <c r="AI14" s="548">
        <v>70.527787536072665</v>
      </c>
      <c r="AJ14" s="548"/>
      <c r="AK14" s="548">
        <v>71.075306846736197</v>
      </c>
      <c r="AL14" s="548">
        <v>71.947067979141877</v>
      </c>
      <c r="AM14" s="548">
        <v>68.307999009885762</v>
      </c>
      <c r="AN14" s="548">
        <v>72.055449200584732</v>
      </c>
      <c r="AO14" s="548"/>
      <c r="AP14" s="548">
        <v>74.436793688418362</v>
      </c>
      <c r="AQ14" s="548">
        <v>73.833111126367498</v>
      </c>
      <c r="AR14" s="548">
        <v>71.997294876052194</v>
      </c>
      <c r="AS14" s="548">
        <v>71.96895477109841</v>
      </c>
      <c r="AT14" s="638">
        <f t="shared" si="12"/>
        <v>94.507042253521121</v>
      </c>
      <c r="AU14" s="548">
        <f t="shared" si="13"/>
        <v>107.3</v>
      </c>
      <c r="AV14" s="548">
        <f t="shared" si="14"/>
        <v>108</v>
      </c>
      <c r="AW14" s="548" t="e">
        <f>#REF!</f>
        <v>#REF!</v>
      </c>
      <c r="AX14" s="548" t="e">
        <f>#REF!</f>
        <v>#REF!</v>
      </c>
      <c r="AY14" s="548" t="e">
        <f>#REF!</f>
        <v>#REF!</v>
      </c>
      <c r="AZ14" s="548">
        <f t="shared" si="15"/>
        <v>87.966666666666654</v>
      </c>
      <c r="BA14" s="548">
        <v>74.767807790309362</v>
      </c>
      <c r="BB14" s="548">
        <v>75.483055365050873</v>
      </c>
      <c r="BC14" s="548">
        <v>76.197183098591552</v>
      </c>
      <c r="BD14" s="548">
        <v>78.591549295774641</v>
      </c>
      <c r="BE14" s="548"/>
      <c r="BF14" s="548">
        <v>80.91549295774648</v>
      </c>
      <c r="BG14" s="548">
        <v>81.197183098591552</v>
      </c>
      <c r="BH14" s="548">
        <v>81.267605633802816</v>
      </c>
      <c r="BI14" s="548">
        <v>82.183098591549296</v>
      </c>
      <c r="BJ14" s="548"/>
      <c r="BK14" s="548">
        <v>86.408450704225359</v>
      </c>
      <c r="BL14" s="548">
        <v>85.633802816901408</v>
      </c>
      <c r="BM14" s="548">
        <v>83.309859154929583</v>
      </c>
      <c r="BN14" s="548">
        <v>81.126760563380287</v>
      </c>
      <c r="BO14" s="548"/>
      <c r="BP14" s="548">
        <v>83.028169014084511</v>
      </c>
      <c r="BQ14" s="548">
        <v>85.774647887323937</v>
      </c>
      <c r="BR14" s="548">
        <v>88.661971830985919</v>
      </c>
      <c r="BS14" s="548">
        <v>88.732394366197184</v>
      </c>
      <c r="BT14" s="548"/>
      <c r="BU14" s="548">
        <v>89.08450704225352</v>
      </c>
      <c r="BV14" s="548">
        <v>90.070422535211264</v>
      </c>
      <c r="BW14" s="548">
        <v>92.535211267605632</v>
      </c>
      <c r="BX14" s="548">
        <v>94.507042253521121</v>
      </c>
      <c r="BY14" s="548"/>
      <c r="BZ14" s="548">
        <v>96.901408450704224</v>
      </c>
      <c r="CA14" s="548">
        <v>100.70422535211267</v>
      </c>
      <c r="CB14" s="548">
        <v>98.098591549295776</v>
      </c>
      <c r="CC14" s="548">
        <v>107.3</v>
      </c>
      <c r="CD14" s="548"/>
      <c r="CE14" s="548">
        <v>104.2</v>
      </c>
      <c r="CF14" s="548">
        <v>105.9</v>
      </c>
      <c r="CG14" s="548">
        <v>109.2</v>
      </c>
      <c r="CH14" s="548">
        <v>108</v>
      </c>
      <c r="CI14" s="548">
        <f t="shared" si="19"/>
        <v>94.437232014006</v>
      </c>
      <c r="CJ14" s="548">
        <v>98.45823167863557</v>
      </c>
      <c r="CK14" s="548">
        <v>98.88217097443102</v>
      </c>
      <c r="CL14" s="548">
        <v>99.869001273230126</v>
      </c>
      <c r="CM14" s="548">
        <v>102.71332893664361</v>
      </c>
      <c r="CN14" s="652">
        <v>100.14084507042253</v>
      </c>
      <c r="CO14" s="652">
        <v>86.289458689458684</v>
      </c>
      <c r="CP14" s="652">
        <v>89.239031339031342</v>
      </c>
      <c r="CQ14" s="652">
        <v>87.966666666666654</v>
      </c>
      <c r="CR14" s="652"/>
      <c r="CS14" s="652">
        <v>94.590007227652833</v>
      </c>
      <c r="CT14" s="652">
        <v>95.708368093920114</v>
      </c>
      <c r="CU14" s="652">
        <v>96.879311570322486</v>
      </c>
      <c r="CV14" s="652">
        <v>94.437232014006</v>
      </c>
      <c r="CW14" s="548">
        <v>102.7</v>
      </c>
      <c r="CX14" s="548">
        <f t="shared" si="16"/>
        <v>0</v>
      </c>
      <c r="CY14" s="548">
        <f t="shared" si="17"/>
        <v>0</v>
      </c>
      <c r="CZ14" s="548">
        <f t="shared" si="20"/>
        <v>0</v>
      </c>
      <c r="DA14" s="548">
        <f t="shared" si="18"/>
        <v>0</v>
      </c>
      <c r="DB14" s="548">
        <v>98.702537081747238</v>
      </c>
      <c r="DC14" s="548">
        <v>97.474859206146292</v>
      </c>
      <c r="DD14" s="548">
        <v>100.80775242834771</v>
      </c>
      <c r="DE14" s="548">
        <v>98.45823167863557</v>
      </c>
      <c r="DF14" s="548"/>
      <c r="DG14" s="548">
        <v>97.01606734140087</v>
      </c>
      <c r="DH14" s="548">
        <v>97.38478200894788</v>
      </c>
      <c r="DI14" s="548">
        <v>101.45435436576864</v>
      </c>
      <c r="DJ14" s="548">
        <v>98.88217097443102</v>
      </c>
      <c r="DK14" s="548"/>
      <c r="DL14" s="548">
        <v>103.55680307681149</v>
      </c>
      <c r="DM14" s="548">
        <v>100.03937143711899</v>
      </c>
      <c r="DN14" s="548">
        <v>103.72137554600737</v>
      </c>
      <c r="DO14" s="548">
        <v>99.869001273230126</v>
      </c>
      <c r="DP14" s="548"/>
      <c r="DQ14" s="548">
        <v>103.5301124494592</v>
      </c>
      <c r="DR14" s="548">
        <v>105.30479205970204</v>
      </c>
      <c r="DS14" s="548">
        <v>102.55929962377364</v>
      </c>
      <c r="DT14" s="548">
        <v>102.71332893664361</v>
      </c>
      <c r="DU14" s="548">
        <v>102.5</v>
      </c>
      <c r="DV14" s="548">
        <v>102.5</v>
      </c>
      <c r="DW14" s="548">
        <f>[10]Database!$AK$452</f>
        <v>0</v>
      </c>
      <c r="DX14" s="548">
        <f>[10]Database!$AK$455</f>
        <v>0</v>
      </c>
      <c r="DY14" s="548">
        <f>[10]Database!$AK$458</f>
        <v>0</v>
      </c>
      <c r="DZ14" s="548"/>
      <c r="EA14" s="548">
        <f>[10]Database!$AK$461</f>
        <v>0</v>
      </c>
      <c r="EB14" s="548">
        <f>[10]Database!$AK$464</f>
        <v>0</v>
      </c>
      <c r="EC14" s="548">
        <f>[10]Database!$AK$467</f>
        <v>0</v>
      </c>
      <c r="ED14" s="548">
        <f>[10]Database!$AK$470</f>
        <v>0</v>
      </c>
      <c r="EE14" s="548"/>
      <c r="EF14" s="548"/>
      <c r="EG14" s="548">
        <f>[10]Database!$AK$473</f>
        <v>0</v>
      </c>
      <c r="EH14" s="548">
        <f>[10]Database!$AK$476</f>
        <v>0</v>
      </c>
      <c r="EI14" s="548">
        <f>[10]Database!$AK$479</f>
        <v>0</v>
      </c>
      <c r="EJ14" s="548">
        <f>[10]Database!$AK$482</f>
        <v>0</v>
      </c>
      <c r="EK14" s="548"/>
      <c r="EL14" s="548">
        <f>[10]Database!$AK$485</f>
        <v>0</v>
      </c>
      <c r="EM14" s="548">
        <f>[10]Database!$AK$488</f>
        <v>0</v>
      </c>
      <c r="EN14" s="548">
        <f>[10]Database!$AK$491</f>
        <v>0</v>
      </c>
      <c r="EO14" s="548">
        <f>[10]Database!$AK$494</f>
        <v>0</v>
      </c>
      <c r="EP14" s="548"/>
      <c r="EQ14" s="548">
        <f>[10]Database!$AK$497</f>
        <v>0</v>
      </c>
      <c r="ER14" s="548">
        <f>[10]Database!$AK$500</f>
        <v>0</v>
      </c>
      <c r="ES14" s="548">
        <f>[10]Database!$AK$503</f>
        <v>0</v>
      </c>
      <c r="ET14" s="548">
        <f>[10]Database!$AK$506</f>
        <v>0</v>
      </c>
      <c r="EU14" s="548"/>
      <c r="EV14" s="548">
        <f>[10]Database!$AK$509</f>
        <v>0</v>
      </c>
      <c r="EW14" s="548">
        <f>[10]Database!$AK$512</f>
        <v>0</v>
      </c>
      <c r="EX14" s="550">
        <f>[10]Database!$AK$515</f>
        <v>0</v>
      </c>
    </row>
    <row r="15" spans="1:154" ht="13.5" customHeight="1" x14ac:dyDescent="0.2">
      <c r="A15" s="679" t="s">
        <v>145</v>
      </c>
      <c r="B15" s="552">
        <f t="shared" si="1"/>
        <v>90.932738715211443</v>
      </c>
      <c r="C15" s="552">
        <f t="shared" si="2"/>
        <v>94.163993828789259</v>
      </c>
      <c r="D15" s="552">
        <f t="shared" si="3"/>
        <v>97.669560408168351</v>
      </c>
      <c r="E15" s="552">
        <f t="shared" si="4"/>
        <v>99.241272000918016</v>
      </c>
      <c r="F15" s="552">
        <f t="shared" si="5"/>
        <v>61.756485188744051</v>
      </c>
      <c r="G15" s="552">
        <f t="shared" si="6"/>
        <v>65.227556283077931</v>
      </c>
      <c r="H15" s="552">
        <f t="shared" si="7"/>
        <v>66.183452589731587</v>
      </c>
      <c r="I15" s="552">
        <f t="shared" si="8"/>
        <v>64.797913950456319</v>
      </c>
      <c r="J15" s="552">
        <f t="shared" si="9"/>
        <v>65.710560625814864</v>
      </c>
      <c r="K15" s="552">
        <f t="shared" si="10"/>
        <v>74.706649282920466</v>
      </c>
      <c r="L15" s="552">
        <f t="shared" si="11"/>
        <v>78.617992177314193</v>
      </c>
      <c r="M15" s="548">
        <v>85.731168402994513</v>
      </c>
      <c r="N15" s="548">
        <v>89.785045363406454</v>
      </c>
      <c r="O15" s="548">
        <v>90.932738715211443</v>
      </c>
      <c r="P15" s="612"/>
      <c r="Q15" s="548">
        <v>91.566652790092292</v>
      </c>
      <c r="R15" s="548">
        <v>90.702941053833058</v>
      </c>
      <c r="S15" s="548">
        <v>92.920430833170641</v>
      </c>
      <c r="T15" s="548">
        <v>94.163993828789259</v>
      </c>
      <c r="U15" s="612"/>
      <c r="V15" s="548">
        <v>93.304206183313894</v>
      </c>
      <c r="W15" s="548">
        <v>94.082709284121577</v>
      </c>
      <c r="X15" s="548">
        <v>95.651764194961928</v>
      </c>
      <c r="Y15" s="548">
        <v>97.669560408168351</v>
      </c>
      <c r="Z15" s="552"/>
      <c r="AA15" s="548">
        <v>98.730290249714585</v>
      </c>
      <c r="AB15" s="548">
        <v>97.932099975516408</v>
      </c>
      <c r="AC15" s="548">
        <v>98.73540461462774</v>
      </c>
      <c r="AD15" s="548">
        <v>99.241272000918016</v>
      </c>
      <c r="AE15" s="552"/>
      <c r="AF15" s="548">
        <v>64.046939921206103</v>
      </c>
      <c r="AG15" s="548">
        <v>62.24811835386469</v>
      </c>
      <c r="AH15" s="548">
        <v>60.741190300286107</v>
      </c>
      <c r="AI15" s="548">
        <v>61.756485188744051</v>
      </c>
      <c r="AJ15" s="548"/>
      <c r="AK15" s="548">
        <v>62.525062397564867</v>
      </c>
      <c r="AL15" s="548">
        <v>63.253405929974683</v>
      </c>
      <c r="AM15" s="548">
        <v>64.612789651053873</v>
      </c>
      <c r="AN15" s="548">
        <v>65.227556283077931</v>
      </c>
      <c r="AO15" s="548"/>
      <c r="AP15" s="548">
        <v>65.552688226206769</v>
      </c>
      <c r="AQ15" s="548">
        <v>65.865893886239547</v>
      </c>
      <c r="AR15" s="548">
        <v>66.276879716297344</v>
      </c>
      <c r="AS15" s="548">
        <v>66.183452589731587</v>
      </c>
      <c r="AT15" s="638">
        <f t="shared" si="12"/>
        <v>90.026075619295952</v>
      </c>
      <c r="AU15" s="548">
        <f t="shared" si="13"/>
        <v>100.8</v>
      </c>
      <c r="AV15" s="548">
        <f t="shared" si="14"/>
        <v>118.8</v>
      </c>
      <c r="AW15" s="548" t="e">
        <f>#REF!</f>
        <v>#REF!</v>
      </c>
      <c r="AX15" s="548" t="e">
        <f>#REF!</f>
        <v>#REF!</v>
      </c>
      <c r="AY15" s="548" t="e">
        <f>#REF!</f>
        <v>#REF!</v>
      </c>
      <c r="AZ15" s="548">
        <f t="shared" si="15"/>
        <v>88.215554265815413</v>
      </c>
      <c r="BA15" s="548">
        <v>66.976188155212697</v>
      </c>
      <c r="BB15" s="548">
        <v>67.021441486264578</v>
      </c>
      <c r="BC15" s="548">
        <v>66.492829204693606</v>
      </c>
      <c r="BD15" s="548">
        <v>64.797913950456319</v>
      </c>
      <c r="BE15" s="548"/>
      <c r="BF15" s="548">
        <v>65.840938722294652</v>
      </c>
      <c r="BG15" s="548">
        <v>66.558018252933508</v>
      </c>
      <c r="BH15" s="548">
        <v>67.470664928292052</v>
      </c>
      <c r="BI15" s="548">
        <v>65.710560625814864</v>
      </c>
      <c r="BJ15" s="548"/>
      <c r="BK15" s="548">
        <v>66.949152542372886</v>
      </c>
      <c r="BL15" s="548">
        <v>69.100391134289438</v>
      </c>
      <c r="BM15" s="548">
        <v>71.382007822685793</v>
      </c>
      <c r="BN15" s="548">
        <v>74.706649282920466</v>
      </c>
      <c r="BO15" s="548"/>
      <c r="BP15" s="548">
        <v>76.010430247718375</v>
      </c>
      <c r="BQ15" s="548">
        <v>77.053455019556722</v>
      </c>
      <c r="BR15" s="548">
        <v>76.727509778357245</v>
      </c>
      <c r="BS15" s="548">
        <v>78.617992177314193</v>
      </c>
      <c r="BT15" s="548"/>
      <c r="BU15" s="548">
        <v>80.638852672750971</v>
      </c>
      <c r="BV15" s="548">
        <v>83.181225554106902</v>
      </c>
      <c r="BW15" s="548">
        <v>87.940026075619286</v>
      </c>
      <c r="BX15" s="548">
        <v>90.026075619295952</v>
      </c>
      <c r="BY15" s="548"/>
      <c r="BZ15" s="548">
        <v>90.286831812255542</v>
      </c>
      <c r="CA15" s="548">
        <v>91.329856584093861</v>
      </c>
      <c r="CB15" s="548">
        <v>97.131681877444592</v>
      </c>
      <c r="CC15" s="548">
        <v>100.8</v>
      </c>
      <c r="CD15" s="548"/>
      <c r="CE15" s="548">
        <v>104.1</v>
      </c>
      <c r="CF15" s="548">
        <v>107.7</v>
      </c>
      <c r="CG15" s="548">
        <v>112</v>
      </c>
      <c r="CH15" s="548">
        <v>118.8</v>
      </c>
      <c r="CI15" s="548">
        <f t="shared" si="19"/>
        <v>93.491929295855542</v>
      </c>
      <c r="CJ15" s="548">
        <v>93.029556864010175</v>
      </c>
      <c r="CK15" s="548">
        <v>100.41017072533195</v>
      </c>
      <c r="CL15" s="548">
        <v>106.30579965814478</v>
      </c>
      <c r="CM15" s="548">
        <v>108.75218101143891</v>
      </c>
      <c r="CN15" s="652">
        <v>92.112125162972632</v>
      </c>
      <c r="CO15" s="652">
        <v>81.902031340684829</v>
      </c>
      <c r="CP15" s="652">
        <v>85.956587347649432</v>
      </c>
      <c r="CQ15" s="652">
        <v>88.215554265815413</v>
      </c>
      <c r="CR15" s="652"/>
      <c r="CS15" s="652">
        <v>90.538427930666344</v>
      </c>
      <c r="CT15" s="652">
        <v>92.510716080589475</v>
      </c>
      <c r="CU15" s="652">
        <v>95.612801471966932</v>
      </c>
      <c r="CV15" s="652">
        <v>93.491929295855542</v>
      </c>
      <c r="CW15" s="548">
        <v>110.3</v>
      </c>
      <c r="CX15" s="548">
        <f t="shared" si="16"/>
        <v>0</v>
      </c>
      <c r="CY15" s="548">
        <f t="shared" si="17"/>
        <v>0</v>
      </c>
      <c r="CZ15" s="548">
        <f t="shared" si="20"/>
        <v>0</v>
      </c>
      <c r="DA15" s="548">
        <f t="shared" si="18"/>
        <v>0</v>
      </c>
      <c r="DB15" s="548">
        <v>91.730010270844929</v>
      </c>
      <c r="DC15" s="548">
        <v>93.308119047680805</v>
      </c>
      <c r="DD15" s="548">
        <v>95.947380941068886</v>
      </c>
      <c r="DE15" s="548">
        <v>93.029556864010175</v>
      </c>
      <c r="DF15" s="548"/>
      <c r="DG15" s="548">
        <v>96.167475600988979</v>
      </c>
      <c r="DH15" s="548">
        <v>97.159063604512752</v>
      </c>
      <c r="DI15" s="548">
        <v>99.830737426480312</v>
      </c>
      <c r="DJ15" s="548">
        <v>100.41017072533195</v>
      </c>
      <c r="DK15" s="548"/>
      <c r="DL15" s="548">
        <v>103.98275171051787</v>
      </c>
      <c r="DM15" s="548">
        <v>107.46453717533055</v>
      </c>
      <c r="DN15" s="548">
        <v>107.83333142963608</v>
      </c>
      <c r="DO15" s="548">
        <v>106.30579965814478</v>
      </c>
      <c r="DP15" s="548"/>
      <c r="DQ15" s="548">
        <v>106.8784501242759</v>
      </c>
      <c r="DR15" s="548">
        <v>107.73675200095995</v>
      </c>
      <c r="DS15" s="548">
        <v>107.21933899338288</v>
      </c>
      <c r="DT15" s="548">
        <v>108.75218101143891</v>
      </c>
      <c r="DU15" s="548">
        <v>109.2</v>
      </c>
      <c r="DV15" s="548">
        <v>109.2</v>
      </c>
      <c r="DW15" s="548">
        <f>[10]Database!$BT$452</f>
        <v>0</v>
      </c>
      <c r="DX15" s="548">
        <f>[10]Database!$BT$455</f>
        <v>0</v>
      </c>
      <c r="DY15" s="548">
        <f>[10]Database!$BT$458</f>
        <v>0</v>
      </c>
      <c r="DZ15" s="548"/>
      <c r="EA15" s="548">
        <f>[10]Database!$BT$461</f>
        <v>0</v>
      </c>
      <c r="EB15" s="548">
        <f>[10]Database!$BT$464</f>
        <v>0</v>
      </c>
      <c r="EC15" s="548">
        <f>[10]Database!$BT$467</f>
        <v>0</v>
      </c>
      <c r="ED15" s="548">
        <f>[10]Database!$BT$470</f>
        <v>0</v>
      </c>
      <c r="EE15" s="548"/>
      <c r="EF15" s="548"/>
      <c r="EG15" s="548">
        <f>[10]Database!$BT$473</f>
        <v>0</v>
      </c>
      <c r="EH15" s="548">
        <f>[10]Database!$BT$476</f>
        <v>0</v>
      </c>
      <c r="EI15" s="548">
        <f>[10]Database!$BT$479</f>
        <v>0</v>
      </c>
      <c r="EJ15" s="548">
        <f>[10]Database!$BT$482</f>
        <v>0</v>
      </c>
      <c r="EK15" s="548"/>
      <c r="EL15" s="548">
        <f>[10]Database!$BT$485</f>
        <v>0</v>
      </c>
      <c r="EM15" s="548">
        <f>[10]Database!$BT$488</f>
        <v>0</v>
      </c>
      <c r="EN15" s="548">
        <f>[10]Database!$BT$491</f>
        <v>0</v>
      </c>
      <c r="EO15" s="548">
        <f>[10]Database!$BT$494</f>
        <v>0</v>
      </c>
      <c r="EP15" s="548"/>
      <c r="EQ15" s="548">
        <f>[10]Database!$BT$497</f>
        <v>0</v>
      </c>
      <c r="ER15" s="548">
        <f>[10]Database!$BT$500</f>
        <v>0</v>
      </c>
      <c r="ES15" s="548">
        <f>[10]Database!$BT$503</f>
        <v>0</v>
      </c>
      <c r="ET15" s="548">
        <f>[10]Database!$BT$506</f>
        <v>0</v>
      </c>
      <c r="EU15" s="548"/>
      <c r="EV15" s="548">
        <f>[10]Database!$BT$509</f>
        <v>0</v>
      </c>
      <c r="EW15" s="548">
        <f>[10]Database!$BT$512</f>
        <v>0</v>
      </c>
      <c r="EX15" s="550">
        <f>[10]Database!$BT$515</f>
        <v>0</v>
      </c>
    </row>
    <row r="16" spans="1:154" s="177" customFormat="1" ht="13.5" customHeight="1" x14ac:dyDescent="0.2">
      <c r="A16" s="553"/>
      <c r="B16" s="544"/>
      <c r="C16" s="544"/>
      <c r="D16" s="613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6"/>
      <c r="X16" s="556"/>
      <c r="Y16" s="556"/>
      <c r="Z16" s="556"/>
      <c r="AA16" s="556"/>
      <c r="AB16" s="556"/>
      <c r="AC16" s="556"/>
      <c r="AD16" s="556"/>
      <c r="AE16" s="556"/>
      <c r="AF16" s="556"/>
      <c r="AG16" s="556"/>
      <c r="AH16" s="556"/>
      <c r="AI16" s="556"/>
      <c r="AJ16" s="556"/>
      <c r="AK16" s="556"/>
      <c r="AL16" s="556"/>
      <c r="AM16" s="556"/>
      <c r="AN16" s="556"/>
      <c r="AO16" s="556"/>
      <c r="AP16" s="556"/>
      <c r="AQ16" s="556"/>
      <c r="AR16" s="556"/>
      <c r="AS16" s="556"/>
      <c r="AT16" s="860" t="s">
        <v>125</v>
      </c>
      <c r="AU16" s="837"/>
      <c r="AV16" s="837"/>
      <c r="AW16" s="837"/>
      <c r="AX16" s="837"/>
      <c r="AY16" s="837"/>
      <c r="AZ16" s="837"/>
      <c r="BA16" s="837"/>
      <c r="BB16" s="837"/>
      <c r="BC16" s="837"/>
      <c r="BD16" s="837"/>
      <c r="BE16" s="837"/>
      <c r="BF16" s="837"/>
      <c r="BG16" s="837"/>
      <c r="BH16" s="837"/>
      <c r="BI16" s="837"/>
      <c r="BJ16" s="837"/>
      <c r="BK16" s="837"/>
      <c r="BL16" s="837"/>
      <c r="BM16" s="837"/>
      <c r="BN16" s="837"/>
      <c r="BO16" s="837"/>
      <c r="BP16" s="837"/>
      <c r="BQ16" s="837"/>
      <c r="BR16" s="837"/>
      <c r="BS16" s="837"/>
      <c r="BT16" s="837"/>
      <c r="BU16" s="837"/>
      <c r="BV16" s="837"/>
      <c r="BW16" s="837"/>
      <c r="BX16" s="837"/>
      <c r="BY16" s="837"/>
      <c r="BZ16" s="837"/>
      <c r="CA16" s="837"/>
      <c r="CB16" s="837"/>
      <c r="CC16" s="837"/>
      <c r="CD16" s="837"/>
      <c r="CE16" s="837"/>
      <c r="CF16" s="837"/>
      <c r="CG16" s="837"/>
      <c r="CH16" s="837"/>
      <c r="CI16" s="837"/>
      <c r="CJ16" s="837"/>
      <c r="CK16" s="837"/>
      <c r="CL16" s="837"/>
      <c r="CM16" s="837"/>
      <c r="CN16" s="837"/>
      <c r="CO16" s="837"/>
      <c r="CP16" s="837"/>
      <c r="CQ16" s="837"/>
      <c r="CR16" s="837"/>
      <c r="CS16" s="837"/>
      <c r="CT16" s="837"/>
      <c r="CU16" s="837"/>
      <c r="CV16" s="837"/>
      <c r="CW16" s="837"/>
      <c r="CX16" s="837"/>
      <c r="CY16" s="837"/>
      <c r="CZ16" s="837"/>
      <c r="DA16" s="837"/>
      <c r="DB16" s="837"/>
      <c r="DC16" s="837"/>
      <c r="DD16" s="837"/>
      <c r="DE16" s="837"/>
      <c r="DF16" s="837"/>
      <c r="DG16" s="837"/>
      <c r="DH16" s="837"/>
      <c r="DI16" s="837"/>
      <c r="DJ16" s="647"/>
      <c r="DK16" s="647"/>
      <c r="DL16" s="647"/>
      <c r="DM16" s="647"/>
      <c r="DN16" s="647"/>
      <c r="DO16" s="647"/>
      <c r="DP16" s="647"/>
      <c r="DQ16" s="647"/>
      <c r="DR16" s="463"/>
      <c r="DS16" s="463"/>
      <c r="DT16" s="463"/>
      <c r="DU16" s="463"/>
      <c r="DV16" s="558"/>
      <c r="DW16" s="558"/>
      <c r="DX16" s="558"/>
      <c r="DY16" s="558"/>
      <c r="DZ16" s="558"/>
      <c r="EA16" s="558"/>
      <c r="EB16" s="558"/>
      <c r="EC16" s="558"/>
      <c r="ED16" s="558"/>
      <c r="EE16" s="558"/>
      <c r="EF16" s="558"/>
      <c r="EG16" s="558"/>
      <c r="EH16" s="558"/>
      <c r="EI16" s="558"/>
      <c r="EJ16" s="558"/>
      <c r="EK16" s="558"/>
      <c r="EL16" s="463"/>
      <c r="EM16" s="463"/>
      <c r="EN16" s="463"/>
      <c r="EO16" s="463"/>
      <c r="EP16" s="558"/>
      <c r="EQ16" s="463"/>
      <c r="ER16" s="463"/>
      <c r="ES16" s="463"/>
      <c r="ET16" s="463"/>
      <c r="EU16" s="558"/>
      <c r="EV16" s="558"/>
      <c r="EW16" s="558"/>
      <c r="EX16" s="559"/>
    </row>
    <row r="17" spans="1:154" ht="13.5" customHeight="1" x14ac:dyDescent="0.2">
      <c r="A17" s="546" t="s">
        <v>94</v>
      </c>
      <c r="B17" s="552"/>
      <c r="C17" s="552">
        <f t="shared" ref="C17:C26" si="21">T17</f>
        <v>7.3360163092174968</v>
      </c>
      <c r="D17" s="552">
        <f t="shared" ref="D17:D26" si="22">Y17</f>
        <v>1.8244313319581096</v>
      </c>
      <c r="E17" s="552">
        <f t="shared" ref="E17:E26" si="23">AD17</f>
        <v>6.3942596595772061</v>
      </c>
      <c r="F17" s="552">
        <f t="shared" ref="F17:F26" si="24">AI17</f>
        <v>-34.678406746968236</v>
      </c>
      <c r="G17" s="552">
        <f t="shared" ref="G17:G26" si="25">AN17</f>
        <v>3.6674582063114025</v>
      </c>
      <c r="H17" s="552">
        <f t="shared" ref="H17:H26" si="26">AS17</f>
        <v>0.7303557880740108</v>
      </c>
      <c r="I17" s="552">
        <f t="shared" ref="I17:I26" si="27">BD17</f>
        <v>3.0122266797813824</v>
      </c>
      <c r="J17" s="552">
        <f t="shared" ref="J17:J26" si="28">BI17</f>
        <v>3.0505243088655876</v>
      </c>
      <c r="K17" s="552">
        <f t="shared" ref="K17:K26" si="29">BN17</f>
        <v>6.2904717853838887</v>
      </c>
      <c r="L17" s="552">
        <f t="shared" ref="L17:L26" si="30">BS17</f>
        <v>7.1366405570060909</v>
      </c>
      <c r="M17" s="574"/>
      <c r="N17" s="574"/>
      <c r="O17" s="574"/>
      <c r="P17" s="574"/>
      <c r="Q17" s="574"/>
      <c r="R17" s="614">
        <f t="shared" ref="R17:T26" si="31">(R6/M6-1)*100</f>
        <v>11.590854803723261</v>
      </c>
      <c r="S17" s="615">
        <f t="shared" si="31"/>
        <v>7.4140728663301791</v>
      </c>
      <c r="T17" s="615">
        <f t="shared" si="31"/>
        <v>7.3360163092174968</v>
      </c>
      <c r="U17" s="574"/>
      <c r="V17" s="552">
        <f t="shared" ref="V17:Y26" si="32">(V6/Q6-1)*100</f>
        <v>11.193416788078814</v>
      </c>
      <c r="W17" s="552">
        <f t="shared" si="32"/>
        <v>8.4182959886186062</v>
      </c>
      <c r="X17" s="552">
        <f t="shared" si="32"/>
        <v>7.7296972490932481</v>
      </c>
      <c r="Y17" s="552">
        <f t="shared" si="32"/>
        <v>1.8244313319581096</v>
      </c>
      <c r="Z17" s="552"/>
      <c r="AA17" s="552">
        <f t="shared" ref="AA17:AD26" si="33">(AA6/V6-1)*100</f>
        <v>0.70967591644632844</v>
      </c>
      <c r="AB17" s="552">
        <f t="shared" si="33"/>
        <v>-2.6980504259518034</v>
      </c>
      <c r="AC17" s="552">
        <f t="shared" si="33"/>
        <v>2.0097628660832312</v>
      </c>
      <c r="AD17" s="552">
        <f t="shared" si="33"/>
        <v>6.3942596595772061</v>
      </c>
      <c r="AE17" s="552"/>
      <c r="AF17" s="552">
        <f t="shared" ref="AF17:AI26" si="34">(AF6/AA6-1)*100</f>
        <v>-32.579176240439864</v>
      </c>
      <c r="AG17" s="552">
        <f t="shared" si="34"/>
        <v>-27.409041617522824</v>
      </c>
      <c r="AH17" s="552">
        <f t="shared" si="34"/>
        <v>-32.852371942967608</v>
      </c>
      <c r="AI17" s="552">
        <f t="shared" si="34"/>
        <v>-34.678406746968236</v>
      </c>
      <c r="AJ17" s="552"/>
      <c r="AK17" s="552">
        <f t="shared" ref="AK17:AN26" si="35">(AK6/AF6-1)*100</f>
        <v>1.890747206552823</v>
      </c>
      <c r="AL17" s="552">
        <f t="shared" si="35"/>
        <v>-3.1651404184829257E-2</v>
      </c>
      <c r="AM17" s="552">
        <f t="shared" si="35"/>
        <v>-0.57524109802242762</v>
      </c>
      <c r="AN17" s="552">
        <f t="shared" si="35"/>
        <v>3.6674582063114025</v>
      </c>
      <c r="AO17" s="552"/>
      <c r="AP17" s="552">
        <f t="shared" ref="AP17:AS26" si="36">(AP6/AK6-1)*100</f>
        <v>4.490949164939928</v>
      </c>
      <c r="AQ17" s="552">
        <f t="shared" si="36"/>
        <v>3.1218498751941937</v>
      </c>
      <c r="AR17" s="552">
        <f t="shared" si="36"/>
        <v>3.9801861307255271</v>
      </c>
      <c r="AS17" s="552">
        <f t="shared" si="36"/>
        <v>0.7303557880740108</v>
      </c>
      <c r="AT17" s="639">
        <f t="shared" ref="AT17:AT26" si="37">BX17</f>
        <v>10.722989439480113</v>
      </c>
      <c r="AU17" s="548">
        <f t="shared" ref="AU17:AU26" si="38">CC17</f>
        <v>11.992663242846646</v>
      </c>
      <c r="AV17" s="548">
        <f t="shared" ref="AV17:AV26" si="39">CH17</f>
        <v>11.74757281553398</v>
      </c>
      <c r="AW17" s="548" t="e">
        <f>#REF!</f>
        <v>#REF!</v>
      </c>
      <c r="AX17" s="548" t="e">
        <f>#REF!</f>
        <v>#REF!</v>
      </c>
      <c r="AY17" s="548" t="e">
        <f>#REF!</f>
        <v>#REF!</v>
      </c>
      <c r="AZ17" s="548" t="e">
        <f t="shared" ref="AZ17:AZ26" si="40">CQ17</f>
        <v>#N/A</v>
      </c>
      <c r="BA17" s="552">
        <v>1.3590478870611156</v>
      </c>
      <c r="BB17" s="552">
        <v>1.9788334654182727</v>
      </c>
      <c r="BC17" s="552">
        <v>2.915106205502993</v>
      </c>
      <c r="BD17" s="552">
        <v>3.0122266797813824</v>
      </c>
      <c r="BE17" s="552"/>
      <c r="BF17" s="552">
        <v>2.9601399528398797</v>
      </c>
      <c r="BG17" s="552">
        <v>3.2294006700058997</v>
      </c>
      <c r="BH17" s="552">
        <v>3.908484270734025</v>
      </c>
      <c r="BI17" s="552">
        <v>3.0505243088655876</v>
      </c>
      <c r="BJ17" s="552"/>
      <c r="BK17" s="552">
        <v>4.1899441340782273</v>
      </c>
      <c r="BL17" s="552">
        <v>4.4362292051756125</v>
      </c>
      <c r="BM17" s="552">
        <v>4.1284403669724634</v>
      </c>
      <c r="BN17" s="552">
        <v>6.2904717853838887</v>
      </c>
      <c r="BO17" s="552"/>
      <c r="BP17" s="552">
        <v>4.7363717605004352</v>
      </c>
      <c r="BQ17" s="552">
        <v>6.0176991150442394</v>
      </c>
      <c r="BR17" s="552">
        <v>7.0484581497797461</v>
      </c>
      <c r="BS17" s="552">
        <v>7.1366405570060909</v>
      </c>
      <c r="BT17" s="552"/>
      <c r="BU17" s="552">
        <v>6.6552901023890776</v>
      </c>
      <c r="BV17" s="552">
        <v>6.5943238731218878</v>
      </c>
      <c r="BW17" s="552">
        <v>9.7119341563785877</v>
      </c>
      <c r="BX17" s="552">
        <v>10.722989439480113</v>
      </c>
      <c r="BY17" s="552"/>
      <c r="BZ17" s="552">
        <v>10.48</v>
      </c>
      <c r="CA17" s="552">
        <v>10.728269381362576</v>
      </c>
      <c r="CB17" s="552">
        <v>8.4771192798199344</v>
      </c>
      <c r="CC17" s="552">
        <v>11.992663242846646</v>
      </c>
      <c r="CD17" s="552"/>
      <c r="CE17" s="552">
        <v>11.713396089789985</v>
      </c>
      <c r="CF17" s="552">
        <v>12.250495049504927</v>
      </c>
      <c r="CG17" s="552">
        <v>13.86597510373444</v>
      </c>
      <c r="CH17" s="552">
        <v>11.74757281553398</v>
      </c>
      <c r="CI17" s="552">
        <f>CV17</f>
        <v>6.4037985407404392</v>
      </c>
      <c r="CJ17" s="552">
        <v>1.1229916059745619</v>
      </c>
      <c r="CK17" s="552">
        <v>5.022464299874386</v>
      </c>
      <c r="CL17" s="552">
        <v>3.8316395911064234</v>
      </c>
      <c r="CM17" s="552">
        <v>2.5238899139030622</v>
      </c>
      <c r="CN17" s="552" t="e">
        <v>#N/A</v>
      </c>
      <c r="CO17" s="552" t="e">
        <v>#N/A</v>
      </c>
      <c r="CP17" s="552" t="e">
        <v>#N/A</v>
      </c>
      <c r="CQ17" s="552" t="e">
        <v>#N/A</v>
      </c>
      <c r="CR17" s="552"/>
      <c r="CS17" s="552">
        <v>11.95782992286405</v>
      </c>
      <c r="CT17" s="552">
        <v>12.244543668016121</v>
      </c>
      <c r="CU17" s="552">
        <v>10.302869111340158</v>
      </c>
      <c r="CV17" s="552">
        <v>6.4037985407404392</v>
      </c>
      <c r="CW17" s="552">
        <v>0.84559754856594793</v>
      </c>
      <c r="CX17" s="552" t="e">
        <f t="shared" ref="CX17:CX26" si="41">ED17</f>
        <v>#DIV/0!</v>
      </c>
      <c r="CY17" s="552">
        <f t="shared" ref="CY17:CY26" si="42">EJ17</f>
        <v>-1.2</v>
      </c>
      <c r="CZ17" s="552" t="e">
        <f t="shared" ref="CZ17:CZ26" si="43">EO17</f>
        <v>#DIV/0!</v>
      </c>
      <c r="DA17" s="552">
        <f t="shared" ref="DA17:DA26" si="44">ET17</f>
        <v>5.5</v>
      </c>
      <c r="DB17" s="552">
        <v>2.3944549464398648</v>
      </c>
      <c r="DC17" s="552">
        <v>1.2026726057906529</v>
      </c>
      <c r="DD17" s="552">
        <v>1.6016926879257198</v>
      </c>
      <c r="DE17" s="552">
        <v>1.1229916059745619</v>
      </c>
      <c r="DF17" s="552"/>
      <c r="DG17" s="552">
        <v>2.5139507692307745</v>
      </c>
      <c r="DH17" s="552">
        <v>2.6592509047339519</v>
      </c>
      <c r="DI17" s="552">
        <v>2.8581610043980419</v>
      </c>
      <c r="DJ17" s="552">
        <v>5.022464299874386</v>
      </c>
      <c r="DK17" s="552"/>
      <c r="DL17" s="552">
        <v>7.4721748825155885</v>
      </c>
      <c r="DM17" s="552">
        <v>7.1491170486035713</v>
      </c>
      <c r="DN17" s="552">
        <v>5.5517783108763865</v>
      </c>
      <c r="DO17" s="552">
        <v>3.8316395911064234</v>
      </c>
      <c r="DP17" s="552"/>
      <c r="DQ17" s="552">
        <v>1.600693940943728</v>
      </c>
      <c r="DR17" s="552">
        <v>2.2820701090724924</v>
      </c>
      <c r="DS17" s="552">
        <v>-0.79686579748799602</v>
      </c>
      <c r="DT17" s="552">
        <v>2.5238899139030622</v>
      </c>
      <c r="DU17" s="552">
        <v>0.79226815134454398</v>
      </c>
      <c r="DV17" s="552">
        <v>0.79226815134454398</v>
      </c>
      <c r="DW17" s="552">
        <f>DW6/DR6*100-100</f>
        <v>-100</v>
      </c>
      <c r="DX17" s="552">
        <f>DX6/DS6*100-100</f>
        <v>-100</v>
      </c>
      <c r="DY17" s="552">
        <f>DY6/DT6*100-100</f>
        <v>-100</v>
      </c>
      <c r="DZ17" s="552"/>
      <c r="EA17" s="552">
        <v>4.7</v>
      </c>
      <c r="EB17" s="552" t="e">
        <f t="shared" ref="EB17:EB26" si="45">EB6/DW6*100-100</f>
        <v>#DIV/0!</v>
      </c>
      <c r="EC17" s="552" t="e">
        <f t="shared" ref="EC17:EC26" si="46">EC6/DX6*100-100</f>
        <v>#DIV/0!</v>
      </c>
      <c r="ED17" s="552" t="e">
        <f t="shared" ref="ED17:ED26" si="47">ED6/DY6*100-100</f>
        <v>#DIV/0!</v>
      </c>
      <c r="EE17" s="552"/>
      <c r="EF17" s="552"/>
      <c r="EG17" s="552" t="e">
        <f t="shared" ref="EG17:EG26" si="48">EG6/EA6*100-100</f>
        <v>#DIV/0!</v>
      </c>
      <c r="EH17" s="552">
        <v>0.2</v>
      </c>
      <c r="EI17" s="552" t="e">
        <f t="shared" ref="EI17:EI26" si="49">EI6/EC6*100-100</f>
        <v>#DIV/0!</v>
      </c>
      <c r="EJ17" s="552">
        <v>-1.2</v>
      </c>
      <c r="EK17" s="552"/>
      <c r="EL17" s="552" t="e">
        <f t="shared" ref="EL17:ET26" si="50">EL6/EG6*100-100</f>
        <v>#DIV/0!</v>
      </c>
      <c r="EM17" s="552" t="e">
        <f t="shared" si="50"/>
        <v>#DIV/0!</v>
      </c>
      <c r="EN17" s="552">
        <v>7</v>
      </c>
      <c r="EO17" s="552" t="e">
        <f t="shared" si="50"/>
        <v>#DIV/0!</v>
      </c>
      <c r="EP17" s="552"/>
      <c r="EQ17" s="552" t="e">
        <f t="shared" si="50"/>
        <v>#DIV/0!</v>
      </c>
      <c r="ER17" s="552" t="e">
        <f t="shared" si="50"/>
        <v>#DIV/0!</v>
      </c>
      <c r="ES17" s="552">
        <v>5.8</v>
      </c>
      <c r="ET17" s="552">
        <v>5.5</v>
      </c>
      <c r="EU17" s="552"/>
      <c r="EV17" s="552" t="e">
        <f>EV6/EQ6*100-100</f>
        <v>#DIV/0!</v>
      </c>
      <c r="EW17" s="552" t="e">
        <f>EW6/ER6*100-100</f>
        <v>#DIV/0!</v>
      </c>
      <c r="EX17" s="563" t="e">
        <f t="shared" ref="EX17:EX26" si="51">EX6/ES6*100-100</f>
        <v>#DIV/0!</v>
      </c>
    </row>
    <row r="18" spans="1:154" ht="13.5" customHeight="1" x14ac:dyDescent="0.2">
      <c r="A18" s="551" t="s">
        <v>126</v>
      </c>
      <c r="B18" s="552"/>
      <c r="C18" s="552">
        <f t="shared" si="21"/>
        <v>8.5487603959158101</v>
      </c>
      <c r="D18" s="552">
        <f t="shared" si="22"/>
        <v>3.8243441549679069E-2</v>
      </c>
      <c r="E18" s="552">
        <f t="shared" si="23"/>
        <v>4.1847913100951706</v>
      </c>
      <c r="F18" s="552">
        <f t="shared" si="24"/>
        <v>-41.884541476660033</v>
      </c>
      <c r="G18" s="552">
        <f t="shared" si="25"/>
        <v>7.6017638836711532</v>
      </c>
      <c r="H18" s="552">
        <f t="shared" si="26"/>
        <v>4.067246341245867</v>
      </c>
      <c r="I18" s="552">
        <f t="shared" si="27"/>
        <v>4.2341966346861826</v>
      </c>
      <c r="J18" s="552">
        <f t="shared" si="28"/>
        <v>6.1316501352569608</v>
      </c>
      <c r="K18" s="552">
        <f t="shared" si="29"/>
        <v>2.1240441801189558</v>
      </c>
      <c r="L18" s="552">
        <f t="shared" si="30"/>
        <v>3.3277870216306127</v>
      </c>
      <c r="M18" s="574"/>
      <c r="N18" s="574"/>
      <c r="O18" s="574"/>
      <c r="P18" s="574"/>
      <c r="Q18" s="574"/>
      <c r="R18" s="614">
        <f t="shared" si="31"/>
        <v>5.0667625171765263</v>
      </c>
      <c r="S18" s="615">
        <f t="shared" si="31"/>
        <v>5.4845878609889542</v>
      </c>
      <c r="T18" s="615">
        <f t="shared" si="31"/>
        <v>8.5487603959158101</v>
      </c>
      <c r="U18" s="574"/>
      <c r="V18" s="552">
        <f t="shared" si="32"/>
        <v>16.368915478766155</v>
      </c>
      <c r="W18" s="552">
        <f t="shared" si="32"/>
        <v>13.4590516639713</v>
      </c>
      <c r="X18" s="552">
        <f t="shared" si="32"/>
        <v>13.178984869295185</v>
      </c>
      <c r="Y18" s="552">
        <f t="shared" si="32"/>
        <v>3.8243441549679069E-2</v>
      </c>
      <c r="Z18" s="552"/>
      <c r="AA18" s="552">
        <f t="shared" si="33"/>
        <v>-3.3499250326657015</v>
      </c>
      <c r="AB18" s="552">
        <f t="shared" si="33"/>
        <v>-9.3763983284607892</v>
      </c>
      <c r="AC18" s="552">
        <f t="shared" si="33"/>
        <v>-4.3931491166929177</v>
      </c>
      <c r="AD18" s="552">
        <f t="shared" si="33"/>
        <v>4.1847913100951706</v>
      </c>
      <c r="AE18" s="552"/>
      <c r="AF18" s="552">
        <f t="shared" si="34"/>
        <v>-42.766864852715102</v>
      </c>
      <c r="AG18" s="552">
        <f t="shared" si="34"/>
        <v>-32.135950224160389</v>
      </c>
      <c r="AH18" s="552">
        <f t="shared" si="34"/>
        <v>-39.193399595734455</v>
      </c>
      <c r="AI18" s="552">
        <f t="shared" si="34"/>
        <v>-41.884541476660033</v>
      </c>
      <c r="AJ18" s="552"/>
      <c r="AK18" s="552">
        <f t="shared" si="35"/>
        <v>6.1465293870831328</v>
      </c>
      <c r="AL18" s="552">
        <f t="shared" si="35"/>
        <v>0.13731085107002716</v>
      </c>
      <c r="AM18" s="552">
        <f t="shared" si="35"/>
        <v>-1.501153708603864</v>
      </c>
      <c r="AN18" s="552">
        <f t="shared" si="35"/>
        <v>7.6017638836711532</v>
      </c>
      <c r="AO18" s="552"/>
      <c r="AP18" s="552">
        <f t="shared" si="36"/>
        <v>9.6178325747881885</v>
      </c>
      <c r="AQ18" s="552">
        <f t="shared" si="36"/>
        <v>5.8144919949444374</v>
      </c>
      <c r="AR18" s="552">
        <f t="shared" si="36"/>
        <v>11.340994378306736</v>
      </c>
      <c r="AS18" s="552">
        <f t="shared" si="36"/>
        <v>4.067246341245867</v>
      </c>
      <c r="AT18" s="639">
        <f t="shared" si="37"/>
        <v>19.565217391304344</v>
      </c>
      <c r="AU18" s="548">
        <f t="shared" si="38"/>
        <v>17.190370370370367</v>
      </c>
      <c r="AV18" s="548">
        <f t="shared" si="39"/>
        <v>5.8106841611996307</v>
      </c>
      <c r="AW18" s="548" t="e">
        <f>#REF!</f>
        <v>#REF!</v>
      </c>
      <c r="AX18" s="548" t="e">
        <f>#REF!</f>
        <v>#REF!</v>
      </c>
      <c r="AY18" s="548" t="e">
        <f>#REF!</f>
        <v>#REF!</v>
      </c>
      <c r="AZ18" s="548" t="e">
        <f t="shared" si="40"/>
        <v>#N/A</v>
      </c>
      <c r="BA18" s="552">
        <v>1.8834023504021635</v>
      </c>
      <c r="BB18" s="552">
        <v>3.4223899556105941</v>
      </c>
      <c r="BC18" s="552">
        <v>2.9741658624979683</v>
      </c>
      <c r="BD18" s="552">
        <v>4.2341966346861826</v>
      </c>
      <c r="BE18" s="552"/>
      <c r="BF18" s="552">
        <v>6.2593845269815374</v>
      </c>
      <c r="BG18" s="552">
        <v>4.761877923390645</v>
      </c>
      <c r="BH18" s="552">
        <v>9.1074681238615831</v>
      </c>
      <c r="BI18" s="552">
        <v>6.1316501352569608</v>
      </c>
      <c r="BJ18" s="552"/>
      <c r="BK18" s="552">
        <v>6.4236111111110938</v>
      </c>
      <c r="BL18" s="552">
        <v>7.8671328671328755</v>
      </c>
      <c r="BM18" s="552">
        <v>1.4190317195325486</v>
      </c>
      <c r="BN18" s="552">
        <v>2.1240441801189558</v>
      </c>
      <c r="BO18" s="552"/>
      <c r="BP18" s="552">
        <v>-1.8760195758564246</v>
      </c>
      <c r="BQ18" s="552">
        <v>-0.40518638573743271</v>
      </c>
      <c r="BR18" s="552">
        <v>1.4814814814814836</v>
      </c>
      <c r="BS18" s="552">
        <v>3.3277870216306127</v>
      </c>
      <c r="BT18" s="552"/>
      <c r="BU18" s="552">
        <v>6.8994181213632322</v>
      </c>
      <c r="BV18" s="552">
        <v>8.3807973962571225</v>
      </c>
      <c r="BW18" s="552">
        <v>15.490673154906753</v>
      </c>
      <c r="BX18" s="552">
        <v>19.565217391304344</v>
      </c>
      <c r="BY18" s="552"/>
      <c r="BZ18" s="552">
        <v>19.206842923794731</v>
      </c>
      <c r="CA18" s="552">
        <v>18.843843843843857</v>
      </c>
      <c r="CB18" s="552">
        <v>12.219101123595477</v>
      </c>
      <c r="CC18" s="552">
        <v>17.190370370370367</v>
      </c>
      <c r="CD18" s="552"/>
      <c r="CE18" s="552">
        <v>11.073972602739723</v>
      </c>
      <c r="CF18" s="552">
        <v>9.6262792166771796</v>
      </c>
      <c r="CG18" s="552">
        <v>11.659198998748433</v>
      </c>
      <c r="CH18" s="552">
        <v>5.8106841611996307</v>
      </c>
      <c r="CI18" s="552">
        <f t="shared" ref="CI18:CI26" si="52">CV18</f>
        <v>2.7257763022068247</v>
      </c>
      <c r="CJ18" s="552">
        <v>8.2826534492123898</v>
      </c>
      <c r="CK18" s="552">
        <v>3.8452095284258121</v>
      </c>
      <c r="CL18" s="552">
        <v>3.1966811104447999</v>
      </c>
      <c r="CM18" s="552">
        <v>5.9651713331259231</v>
      </c>
      <c r="CN18" s="552" t="e">
        <v>#N/A</v>
      </c>
      <c r="CO18" s="552" t="e">
        <v>#N/A</v>
      </c>
      <c r="CP18" s="552" t="e">
        <v>#N/A</v>
      </c>
      <c r="CQ18" s="552" t="e">
        <v>#N/A</v>
      </c>
      <c r="CR18" s="552"/>
      <c r="CS18" s="552">
        <v>11.502171633967336</v>
      </c>
      <c r="CT18" s="552">
        <v>10.893854748603331</v>
      </c>
      <c r="CU18" s="552">
        <v>4.3021844234398969</v>
      </c>
      <c r="CV18" s="552">
        <v>2.7257763022068247</v>
      </c>
      <c r="CW18" s="552">
        <v>0.97903831861998469</v>
      </c>
      <c r="CX18" s="552" t="e">
        <f t="shared" si="41"/>
        <v>#DIV/0!</v>
      </c>
      <c r="CY18" s="552" t="e">
        <f t="shared" si="42"/>
        <v>#DIV/0!</v>
      </c>
      <c r="CZ18" s="552" t="e">
        <f t="shared" si="43"/>
        <v>#DIV/0!</v>
      </c>
      <c r="DA18" s="552">
        <f t="shared" si="44"/>
        <v>6</v>
      </c>
      <c r="DB18" s="552">
        <v>4.8690396239086766</v>
      </c>
      <c r="DC18" s="552">
        <v>6.3701445048389473</v>
      </c>
      <c r="DD18" s="552">
        <v>14.215047766415537</v>
      </c>
      <c r="DE18" s="552">
        <v>8.2826534492123898</v>
      </c>
      <c r="DF18" s="552"/>
      <c r="DG18" s="552">
        <v>4.0768709574127371</v>
      </c>
      <c r="DH18" s="552">
        <v>2.1908630896740817</v>
      </c>
      <c r="DI18" s="552">
        <v>-0.72762177003707507</v>
      </c>
      <c r="DJ18" s="552">
        <v>3.8452095284258121</v>
      </c>
      <c r="DK18" s="552"/>
      <c r="DL18" s="552">
        <v>7.6950236072180047</v>
      </c>
      <c r="DM18" s="552">
        <v>5.4254020884082053</v>
      </c>
      <c r="DN18" s="552">
        <v>7.6906025061660443</v>
      </c>
      <c r="DO18" s="552">
        <v>3.1966811104447999</v>
      </c>
      <c r="DP18" s="552"/>
      <c r="DQ18" s="552">
        <v>0.70206101984537383</v>
      </c>
      <c r="DR18" s="552">
        <v>4.3269305392554571</v>
      </c>
      <c r="DS18" s="552">
        <v>-1.6618817513919311</v>
      </c>
      <c r="DT18" s="552">
        <v>5.9651713331259231</v>
      </c>
      <c r="DU18" s="552">
        <v>2.9030262933234638</v>
      </c>
      <c r="DV18" s="552">
        <v>2.9030262933234638</v>
      </c>
      <c r="DW18" s="552">
        <f t="shared" ref="DW18:DW26" si="53">DW7/DR7*100-100</f>
        <v>-100</v>
      </c>
      <c r="DX18" s="552">
        <f t="shared" ref="DX18:DX26" si="54">DX7/DS7*100-100</f>
        <v>-100</v>
      </c>
      <c r="DY18" s="552">
        <f t="shared" ref="DY18:DY26" si="55">DY7/DT7*100-100</f>
        <v>-100</v>
      </c>
      <c r="DZ18" s="552"/>
      <c r="EA18" s="552">
        <f t="shared" ref="EA18:EA26" si="56">EA7/DV7*100-100</f>
        <v>-100</v>
      </c>
      <c r="EB18" s="552" t="e">
        <f t="shared" si="45"/>
        <v>#DIV/0!</v>
      </c>
      <c r="EC18" s="552" t="e">
        <f t="shared" si="46"/>
        <v>#DIV/0!</v>
      </c>
      <c r="ED18" s="552" t="e">
        <f t="shared" si="47"/>
        <v>#DIV/0!</v>
      </c>
      <c r="EE18" s="552"/>
      <c r="EF18" s="552"/>
      <c r="EG18" s="552" t="e">
        <f t="shared" si="48"/>
        <v>#DIV/0!</v>
      </c>
      <c r="EH18" s="552" t="e">
        <f t="shared" ref="EH18:EH24" si="57">EH7/EB7*100-100</f>
        <v>#DIV/0!</v>
      </c>
      <c r="EI18" s="552" t="e">
        <f t="shared" si="49"/>
        <v>#DIV/0!</v>
      </c>
      <c r="EJ18" s="552" t="e">
        <f t="shared" ref="EJ18:EJ26" si="58">EJ7/ED7*100-100</f>
        <v>#DIV/0!</v>
      </c>
      <c r="EK18" s="552"/>
      <c r="EL18" s="552" t="e">
        <f t="shared" si="50"/>
        <v>#DIV/0!</v>
      </c>
      <c r="EM18" s="552" t="e">
        <f t="shared" si="50"/>
        <v>#DIV/0!</v>
      </c>
      <c r="EN18" s="552" t="e">
        <f t="shared" si="50"/>
        <v>#DIV/0!</v>
      </c>
      <c r="EO18" s="552" t="e">
        <f t="shared" si="50"/>
        <v>#DIV/0!</v>
      </c>
      <c r="EP18" s="552"/>
      <c r="EQ18" s="552" t="e">
        <f t="shared" si="50"/>
        <v>#DIV/0!</v>
      </c>
      <c r="ER18" s="552" t="e">
        <f>ER7/EM7*100-100</f>
        <v>#DIV/0!</v>
      </c>
      <c r="ES18" s="552">
        <v>5.9</v>
      </c>
      <c r="ET18" s="552">
        <v>6</v>
      </c>
      <c r="EU18" s="552"/>
      <c r="EV18" s="552">
        <v>16.7</v>
      </c>
      <c r="EW18" s="552">
        <v>7</v>
      </c>
      <c r="EX18" s="563" t="e">
        <f t="shared" si="51"/>
        <v>#DIV/0!</v>
      </c>
    </row>
    <row r="19" spans="1:154" ht="13.5" customHeight="1" x14ac:dyDescent="0.2">
      <c r="A19" s="551" t="s">
        <v>127</v>
      </c>
      <c r="B19" s="552"/>
      <c r="C19" s="552">
        <f t="shared" si="21"/>
        <v>7.9072210026948087</v>
      </c>
      <c r="D19" s="552">
        <f t="shared" si="22"/>
        <v>12.648410201213679</v>
      </c>
      <c r="E19" s="552">
        <f t="shared" si="23"/>
        <v>9.604066022409441</v>
      </c>
      <c r="F19" s="552">
        <f t="shared" si="24"/>
        <v>-24.48931072691768</v>
      </c>
      <c r="G19" s="552">
        <f t="shared" si="25"/>
        <v>0.56568217971220136</v>
      </c>
      <c r="H19" s="552">
        <f t="shared" si="26"/>
        <v>1.1061627249042694E-2</v>
      </c>
      <c r="I19" s="552">
        <f t="shared" si="27"/>
        <v>0.56223418578871254</v>
      </c>
      <c r="J19" s="552">
        <f t="shared" si="28"/>
        <v>3.6561264822134287</v>
      </c>
      <c r="K19" s="552">
        <f t="shared" si="29"/>
        <v>8.6749285033365098</v>
      </c>
      <c r="L19" s="552">
        <f t="shared" si="30"/>
        <v>1.5789473684210575</v>
      </c>
      <c r="M19" s="574"/>
      <c r="N19" s="574"/>
      <c r="O19" s="574"/>
      <c r="P19" s="574"/>
      <c r="Q19" s="574"/>
      <c r="R19" s="614">
        <f t="shared" si="31"/>
        <v>32.932002053026245</v>
      </c>
      <c r="S19" s="615">
        <f t="shared" si="31"/>
        <v>16.563357479044804</v>
      </c>
      <c r="T19" s="615">
        <f t="shared" si="31"/>
        <v>7.9072210026948087</v>
      </c>
      <c r="U19" s="574"/>
      <c r="V19" s="552">
        <f t="shared" si="32"/>
        <v>15.642585350405479</v>
      </c>
      <c r="W19" s="552">
        <f t="shared" si="32"/>
        <v>12.462441284889824</v>
      </c>
      <c r="X19" s="552">
        <f t="shared" si="32"/>
        <v>11.662873524998973</v>
      </c>
      <c r="Y19" s="552">
        <f t="shared" si="32"/>
        <v>12.648410201213679</v>
      </c>
      <c r="Z19" s="552"/>
      <c r="AA19" s="552">
        <f t="shared" si="33"/>
        <v>0.14179624634176324</v>
      </c>
      <c r="AB19" s="552">
        <f t="shared" si="33"/>
        <v>1.8870923914841908</v>
      </c>
      <c r="AC19" s="552">
        <f t="shared" si="33"/>
        <v>7.59540637471674</v>
      </c>
      <c r="AD19" s="552">
        <f t="shared" si="33"/>
        <v>9.604066022409441</v>
      </c>
      <c r="AE19" s="552"/>
      <c r="AF19" s="552">
        <f t="shared" si="34"/>
        <v>-13.963841887311656</v>
      </c>
      <c r="AG19" s="552">
        <f t="shared" si="34"/>
        <v>-15.855408595803688</v>
      </c>
      <c r="AH19" s="552">
        <f t="shared" si="34"/>
        <v>-22.835910795466209</v>
      </c>
      <c r="AI19" s="552">
        <f t="shared" si="34"/>
        <v>-24.48931072691768</v>
      </c>
      <c r="AJ19" s="552"/>
      <c r="AK19" s="552">
        <f t="shared" si="35"/>
        <v>-3.579991580334041</v>
      </c>
      <c r="AL19" s="552">
        <f t="shared" si="35"/>
        <v>-2.0181667633444089</v>
      </c>
      <c r="AM19" s="552">
        <f t="shared" si="35"/>
        <v>-3.1594342953933374E-2</v>
      </c>
      <c r="AN19" s="552">
        <f t="shared" si="35"/>
        <v>0.56568217971220136</v>
      </c>
      <c r="AO19" s="552"/>
      <c r="AP19" s="552">
        <f t="shared" si="36"/>
        <v>3.546634338029131</v>
      </c>
      <c r="AQ19" s="552">
        <f t="shared" si="36"/>
        <v>5.279196217583304</v>
      </c>
      <c r="AR19" s="552">
        <f t="shared" si="36"/>
        <v>0.22127807600023086</v>
      </c>
      <c r="AS19" s="552">
        <f t="shared" si="36"/>
        <v>1.1061627249042694E-2</v>
      </c>
      <c r="AT19" s="639">
        <f t="shared" si="37"/>
        <v>6.1312607944732367</v>
      </c>
      <c r="AU19" s="548">
        <f t="shared" si="38"/>
        <v>-5.7363710333613316E-2</v>
      </c>
      <c r="AV19" s="548">
        <f t="shared" si="39"/>
        <v>5.888324873096451</v>
      </c>
      <c r="AW19" s="548" t="e">
        <f>#REF!</f>
        <v>#REF!</v>
      </c>
      <c r="AX19" s="548" t="e">
        <f>#REF!</f>
        <v>#REF!</v>
      </c>
      <c r="AY19" s="548" t="e">
        <f>#REF!</f>
        <v>#REF!</v>
      </c>
      <c r="AZ19" s="548" t="e">
        <f t="shared" si="40"/>
        <v>#N/A</v>
      </c>
      <c r="BA19" s="552">
        <v>1.5164697378254433</v>
      </c>
      <c r="BB19" s="552">
        <v>-0.81182295887853861</v>
      </c>
      <c r="BC19" s="552">
        <v>1.6478874773184993</v>
      </c>
      <c r="BD19" s="552">
        <v>0.56223418578871254</v>
      </c>
      <c r="BE19" s="552"/>
      <c r="BF19" s="552">
        <v>3.0020572808258095</v>
      </c>
      <c r="BG19" s="552">
        <v>1.5296181370293649</v>
      </c>
      <c r="BH19" s="552">
        <v>-2.6574803149606252</v>
      </c>
      <c r="BI19" s="552">
        <v>3.6561264822134287</v>
      </c>
      <c r="BJ19" s="552"/>
      <c r="BK19" s="552">
        <v>1.037735849056598</v>
      </c>
      <c r="BL19" s="552">
        <v>5.9386973180076463</v>
      </c>
      <c r="BM19" s="552">
        <v>13.852376137512646</v>
      </c>
      <c r="BN19" s="552">
        <v>8.6749285033365098</v>
      </c>
      <c r="BO19" s="552"/>
      <c r="BP19" s="552">
        <v>7.1895424836601274</v>
      </c>
      <c r="BQ19" s="552">
        <v>4.8824593128390603</v>
      </c>
      <c r="BR19" s="552">
        <v>2.4866785079929121</v>
      </c>
      <c r="BS19" s="552">
        <v>1.5789473684210575</v>
      </c>
      <c r="BT19" s="552"/>
      <c r="BU19" s="552">
        <v>1.7421602787456525</v>
      </c>
      <c r="BV19" s="552">
        <v>3.1034482758620641</v>
      </c>
      <c r="BW19" s="552">
        <v>6.1525129982668902</v>
      </c>
      <c r="BX19" s="552">
        <v>6.1312607944732367</v>
      </c>
      <c r="BY19" s="552"/>
      <c r="BZ19" s="552">
        <v>6.25</v>
      </c>
      <c r="CA19" s="552">
        <v>1.3377926421404673</v>
      </c>
      <c r="CB19" s="552">
        <v>2.3673469387755386</v>
      </c>
      <c r="CC19" s="552">
        <v>-5.7363710333613316E-2</v>
      </c>
      <c r="CD19" s="552"/>
      <c r="CE19" s="552">
        <v>0.18203062046737717</v>
      </c>
      <c r="CF19" s="552">
        <v>3.6080033003300427</v>
      </c>
      <c r="CG19" s="552">
        <v>4.214992025518316</v>
      </c>
      <c r="CH19" s="552">
        <v>5.888324873096451</v>
      </c>
      <c r="CI19" s="552">
        <f t="shared" si="52"/>
        <v>7.5554319872106674</v>
      </c>
      <c r="CJ19" s="552">
        <v>-1.515385808452919</v>
      </c>
      <c r="CK19" s="552">
        <v>-3.0982824305249039</v>
      </c>
      <c r="CL19" s="552">
        <v>2.4455666010197774E-2</v>
      </c>
      <c r="CM19" s="552">
        <v>0.35850751147079052</v>
      </c>
      <c r="CN19" s="552" t="e">
        <v>#N/A</v>
      </c>
      <c r="CO19" s="552" t="e">
        <v>#N/A</v>
      </c>
      <c r="CP19" s="552" t="e">
        <v>#N/A</v>
      </c>
      <c r="CQ19" s="552" t="e">
        <v>#N/A</v>
      </c>
      <c r="CR19" s="552"/>
      <c r="CS19" s="552">
        <v>0.37018928546484631</v>
      </c>
      <c r="CT19" s="552">
        <v>1.5028885503899403</v>
      </c>
      <c r="CU19" s="552">
        <v>4.8788999790605203</v>
      </c>
      <c r="CV19" s="552">
        <v>7.5554319872106674</v>
      </c>
      <c r="CW19" s="552">
        <v>1.3861888173410506</v>
      </c>
      <c r="CX19" s="552" t="e">
        <f t="shared" si="41"/>
        <v>#DIV/0!</v>
      </c>
      <c r="CY19" s="552" t="e">
        <f t="shared" si="42"/>
        <v>#DIV/0!</v>
      </c>
      <c r="CZ19" s="552">
        <f t="shared" si="43"/>
        <v>2.2999999999999998</v>
      </c>
      <c r="DA19" s="552">
        <f t="shared" si="44"/>
        <v>12.6</v>
      </c>
      <c r="DB19" s="552">
        <v>7.0772442588726392</v>
      </c>
      <c r="DC19" s="552">
        <v>6.4661134163208658</v>
      </c>
      <c r="DD19" s="552">
        <v>2.5540143750831845</v>
      </c>
      <c r="DE19" s="552">
        <v>-1.515385808452919</v>
      </c>
      <c r="DF19" s="552"/>
      <c r="DG19" s="552">
        <v>-0.80922467017613542</v>
      </c>
      <c r="DH19" s="552">
        <v>-0.29786943812928257</v>
      </c>
      <c r="DI19" s="552">
        <v>-4.1548281245175787</v>
      </c>
      <c r="DJ19" s="552">
        <v>-3.0982824305249039</v>
      </c>
      <c r="DK19" s="552"/>
      <c r="DL19" s="552">
        <v>-3.0331086553636197</v>
      </c>
      <c r="DM19" s="552">
        <v>-3.6071334398788224</v>
      </c>
      <c r="DN19" s="552">
        <v>0.17578117339897403</v>
      </c>
      <c r="DO19" s="552">
        <v>2.4455666010197774E-2</v>
      </c>
      <c r="DP19" s="552"/>
      <c r="DQ19" s="552">
        <v>-7.8841618013427706E-3</v>
      </c>
      <c r="DR19" s="552">
        <v>-0.56810836993321345</v>
      </c>
      <c r="DS19" s="552">
        <v>-0.48829829691506177</v>
      </c>
      <c r="DT19" s="552">
        <v>0.35850751147079052</v>
      </c>
      <c r="DU19" s="552">
        <v>0.15882458415951817</v>
      </c>
      <c r="DV19" s="552">
        <v>0.15882458415951817</v>
      </c>
      <c r="DW19" s="552">
        <f t="shared" si="53"/>
        <v>-100</v>
      </c>
      <c r="DX19" s="552">
        <f t="shared" si="54"/>
        <v>-100</v>
      </c>
      <c r="DY19" s="552">
        <f t="shared" si="55"/>
        <v>-100</v>
      </c>
      <c r="DZ19" s="552"/>
      <c r="EA19" s="552">
        <f t="shared" si="56"/>
        <v>-100</v>
      </c>
      <c r="EB19" s="552" t="e">
        <f t="shared" si="45"/>
        <v>#DIV/0!</v>
      </c>
      <c r="EC19" s="552" t="e">
        <f t="shared" si="46"/>
        <v>#DIV/0!</v>
      </c>
      <c r="ED19" s="552" t="e">
        <f t="shared" si="47"/>
        <v>#DIV/0!</v>
      </c>
      <c r="EE19" s="552"/>
      <c r="EF19" s="552"/>
      <c r="EG19" s="552" t="e">
        <f t="shared" si="48"/>
        <v>#DIV/0!</v>
      </c>
      <c r="EH19" s="552" t="e">
        <f t="shared" si="57"/>
        <v>#DIV/0!</v>
      </c>
      <c r="EI19" s="552" t="e">
        <f t="shared" si="49"/>
        <v>#DIV/0!</v>
      </c>
      <c r="EJ19" s="552" t="e">
        <f t="shared" si="58"/>
        <v>#DIV/0!</v>
      </c>
      <c r="EK19" s="552"/>
      <c r="EL19" s="552">
        <v>1.6</v>
      </c>
      <c r="EM19" s="552">
        <v>2.5</v>
      </c>
      <c r="EN19" s="552">
        <v>1.8</v>
      </c>
      <c r="EO19" s="552">
        <v>2.2999999999999998</v>
      </c>
      <c r="EP19" s="552"/>
      <c r="EQ19" s="552" t="e">
        <f t="shared" si="50"/>
        <v>#DIV/0!</v>
      </c>
      <c r="ER19" s="552" t="e">
        <f t="shared" si="50"/>
        <v>#DIV/0!</v>
      </c>
      <c r="ES19" s="552" t="e">
        <f t="shared" si="50"/>
        <v>#DIV/0!</v>
      </c>
      <c r="ET19" s="552">
        <v>12.6</v>
      </c>
      <c r="EU19" s="552"/>
      <c r="EV19" s="552">
        <v>14.1</v>
      </c>
      <c r="EW19" s="552" t="e">
        <f t="shared" ref="EW19:EW26" si="59">EW8/ER8*100-100</f>
        <v>#DIV/0!</v>
      </c>
      <c r="EX19" s="563" t="e">
        <f t="shared" si="51"/>
        <v>#DIV/0!</v>
      </c>
    </row>
    <row r="20" spans="1:154" ht="13.5" customHeight="1" x14ac:dyDescent="0.2">
      <c r="A20" s="551" t="s">
        <v>165</v>
      </c>
      <c r="B20" s="552"/>
      <c r="C20" s="552">
        <f t="shared" si="21"/>
        <v>8.6255229262285802</v>
      </c>
      <c r="D20" s="552">
        <f t="shared" si="22"/>
        <v>2.2972541049623985</v>
      </c>
      <c r="E20" s="552">
        <f t="shared" si="23"/>
        <v>12.8692671847894</v>
      </c>
      <c r="F20" s="552">
        <f t="shared" si="24"/>
        <v>-23.57557205650539</v>
      </c>
      <c r="G20" s="552">
        <f t="shared" si="25"/>
        <v>-0.94463420819328459</v>
      </c>
      <c r="H20" s="552">
        <f t="shared" si="26"/>
        <v>-1.8408358071636544</v>
      </c>
      <c r="I20" s="552">
        <f t="shared" si="27"/>
        <v>-0.67206937784455301</v>
      </c>
      <c r="J20" s="552">
        <f t="shared" si="28"/>
        <v>5.3333333333333233</v>
      </c>
      <c r="K20" s="552">
        <f t="shared" si="29"/>
        <v>5.8422590068159641</v>
      </c>
      <c r="L20" s="552">
        <f t="shared" si="30"/>
        <v>5.9797608095675914</v>
      </c>
      <c r="M20" s="574"/>
      <c r="N20" s="574"/>
      <c r="O20" s="574"/>
      <c r="P20" s="574"/>
      <c r="Q20" s="574"/>
      <c r="R20" s="614">
        <f t="shared" si="31"/>
        <v>12.38877100549125</v>
      </c>
      <c r="S20" s="615">
        <f t="shared" si="31"/>
        <v>14.900208357319222</v>
      </c>
      <c r="T20" s="615">
        <f t="shared" si="31"/>
        <v>8.6255229262285802</v>
      </c>
      <c r="U20" s="574"/>
      <c r="V20" s="552">
        <f t="shared" si="32"/>
        <v>9.0767441842242835</v>
      </c>
      <c r="W20" s="552">
        <f t="shared" si="32"/>
        <v>-2.0885561003965214</v>
      </c>
      <c r="X20" s="552">
        <f t="shared" si="32"/>
        <v>0.5244950293126438</v>
      </c>
      <c r="Y20" s="552">
        <f t="shared" si="32"/>
        <v>2.2972541049623985</v>
      </c>
      <c r="Z20" s="552"/>
      <c r="AA20" s="552">
        <f t="shared" si="33"/>
        <v>4.6001046305084392</v>
      </c>
      <c r="AB20" s="552">
        <f t="shared" si="33"/>
        <v>7.3470983522087474</v>
      </c>
      <c r="AC20" s="552">
        <f t="shared" si="33"/>
        <v>13.372805516142705</v>
      </c>
      <c r="AD20" s="552">
        <f t="shared" si="33"/>
        <v>12.8692671847894</v>
      </c>
      <c r="AE20" s="552"/>
      <c r="AF20" s="552">
        <f t="shared" si="34"/>
        <v>-16.278234572965854</v>
      </c>
      <c r="AG20" s="552">
        <f t="shared" si="34"/>
        <v>-15.247786101199079</v>
      </c>
      <c r="AH20" s="552">
        <f t="shared" si="34"/>
        <v>-22.37800600144957</v>
      </c>
      <c r="AI20" s="552">
        <f t="shared" si="34"/>
        <v>-23.57557205650539</v>
      </c>
      <c r="AJ20" s="552"/>
      <c r="AK20" s="552">
        <f t="shared" si="35"/>
        <v>0.73303108663069771</v>
      </c>
      <c r="AL20" s="552">
        <f t="shared" si="35"/>
        <v>0.2536094329078864</v>
      </c>
      <c r="AM20" s="552">
        <f t="shared" si="35"/>
        <v>2.8243675985040184E-2</v>
      </c>
      <c r="AN20" s="552">
        <f t="shared" si="35"/>
        <v>-0.94463420819328459</v>
      </c>
      <c r="AO20" s="552"/>
      <c r="AP20" s="552">
        <f t="shared" si="36"/>
        <v>0.36357665555124541</v>
      </c>
      <c r="AQ20" s="552">
        <f t="shared" si="36"/>
        <v>-0.20535354504308545</v>
      </c>
      <c r="AR20" s="552">
        <f t="shared" si="36"/>
        <v>-2.2935568499724335</v>
      </c>
      <c r="AS20" s="552">
        <f t="shared" si="36"/>
        <v>-1.8408358071636544</v>
      </c>
      <c r="AT20" s="639">
        <f t="shared" si="37"/>
        <v>7.2916666666666741</v>
      </c>
      <c r="AU20" s="548">
        <f t="shared" si="38"/>
        <v>11.084142394822027</v>
      </c>
      <c r="AV20" s="548">
        <f t="shared" si="39"/>
        <v>12.5</v>
      </c>
      <c r="AW20" s="548" t="e">
        <f>#REF!</f>
        <v>#REF!</v>
      </c>
      <c r="AX20" s="548" t="e">
        <f>#REF!</f>
        <v>#REF!</v>
      </c>
      <c r="AY20" s="548" t="e">
        <f>#REF!</f>
        <v>#REF!</v>
      </c>
      <c r="AZ20" s="548" t="e">
        <f t="shared" si="40"/>
        <v>#N/A</v>
      </c>
      <c r="BA20" s="552">
        <v>0.81950668119883385</v>
      </c>
      <c r="BB20" s="552">
        <v>0.58046366466619759</v>
      </c>
      <c r="BC20" s="552">
        <v>1.731995713469292</v>
      </c>
      <c r="BD20" s="552">
        <v>-0.67206937784455301</v>
      </c>
      <c r="BE20" s="552"/>
      <c r="BF20" s="552">
        <v>3.370521286660999</v>
      </c>
      <c r="BG20" s="552">
        <v>0.57874781017162036</v>
      </c>
      <c r="BH20" s="552">
        <v>2.0958083832335328</v>
      </c>
      <c r="BI20" s="552">
        <v>5.3333333333333233</v>
      </c>
      <c r="BJ20" s="552"/>
      <c r="BK20" s="552">
        <v>-0.48030739673389222</v>
      </c>
      <c r="BL20" s="552">
        <v>4.7244094488189115</v>
      </c>
      <c r="BM20" s="552">
        <v>4.2033235581622641</v>
      </c>
      <c r="BN20" s="552">
        <v>5.8422590068159641</v>
      </c>
      <c r="BO20" s="552"/>
      <c r="BP20" s="552">
        <v>7.8185328185328196</v>
      </c>
      <c r="BQ20" s="552">
        <v>4.8872180451127623</v>
      </c>
      <c r="BR20" s="552">
        <v>6.9418386491557182</v>
      </c>
      <c r="BS20" s="552">
        <v>5.9797608095675914</v>
      </c>
      <c r="BT20" s="552"/>
      <c r="BU20" s="552">
        <v>2.7752909579229934</v>
      </c>
      <c r="BV20" s="552">
        <v>4.4802867383512579</v>
      </c>
      <c r="BW20" s="552">
        <v>7.3684210526315796</v>
      </c>
      <c r="BX20" s="552">
        <v>7.2916666666666741</v>
      </c>
      <c r="BY20" s="552"/>
      <c r="BZ20" s="552">
        <v>8.9721254355400895</v>
      </c>
      <c r="CA20" s="552">
        <v>10.205831903945128</v>
      </c>
      <c r="CB20" s="552">
        <v>7.9248366013072058</v>
      </c>
      <c r="CC20" s="552">
        <v>11.084142394822027</v>
      </c>
      <c r="CD20" s="552"/>
      <c r="CE20" s="552">
        <v>15.459312549960046</v>
      </c>
      <c r="CF20" s="552">
        <v>13.472840466926073</v>
      </c>
      <c r="CG20" s="552">
        <v>11.939515518546573</v>
      </c>
      <c r="CH20" s="552">
        <v>12.5</v>
      </c>
      <c r="CI20" s="552">
        <f t="shared" si="52"/>
        <v>10.347081592371367</v>
      </c>
      <c r="CJ20" s="552">
        <v>-7.7420082467042164</v>
      </c>
      <c r="CK20" s="552">
        <v>1.6495620565721651</v>
      </c>
      <c r="CL20" s="552">
        <v>3.8259216841865111</v>
      </c>
      <c r="CM20" s="552">
        <v>-1.8475912056379826</v>
      </c>
      <c r="CN20" s="552" t="e">
        <v>#N/A</v>
      </c>
      <c r="CO20" s="552" t="e">
        <v>#N/A</v>
      </c>
      <c r="CP20" s="552" t="e">
        <v>#N/A</v>
      </c>
      <c r="CQ20" s="552" t="e">
        <v>#N/A</v>
      </c>
      <c r="CR20" s="552"/>
      <c r="CS20" s="552">
        <v>12.296127078574131</v>
      </c>
      <c r="CT20" s="552">
        <v>8.8163270694310114</v>
      </c>
      <c r="CU20" s="552">
        <v>12.931001246578361</v>
      </c>
      <c r="CV20" s="552">
        <v>10.347081592371367</v>
      </c>
      <c r="CW20" s="552">
        <v>2.375279967305417</v>
      </c>
      <c r="CX20" s="552" t="e">
        <f t="shared" si="41"/>
        <v>#DIV/0!</v>
      </c>
      <c r="CY20" s="552" t="e">
        <f t="shared" si="42"/>
        <v>#DIV/0!</v>
      </c>
      <c r="CZ20" s="552" t="e">
        <f t="shared" si="43"/>
        <v>#DIV/0!</v>
      </c>
      <c r="DA20" s="552" t="e">
        <f t="shared" si="44"/>
        <v>#DIV/0!</v>
      </c>
      <c r="DB20" s="552">
        <v>-7.0963926670600586E-2</v>
      </c>
      <c r="DC20" s="552">
        <v>-6.8846293825063469</v>
      </c>
      <c r="DD20" s="552">
        <v>-12.535415647226159</v>
      </c>
      <c r="DE20" s="552">
        <v>-7.7420082467042164</v>
      </c>
      <c r="DF20" s="552"/>
      <c r="DG20" s="552">
        <v>-5.9479033021659546</v>
      </c>
      <c r="DH20" s="552">
        <v>5.1920571949709569</v>
      </c>
      <c r="DI20" s="552">
        <v>5.2279175860145557</v>
      </c>
      <c r="DJ20" s="552">
        <v>1.6495620565721651</v>
      </c>
      <c r="DK20" s="552"/>
      <c r="DL20" s="552">
        <v>1.6687395479291638</v>
      </c>
      <c r="DM20" s="552">
        <v>1.8051233792490962</v>
      </c>
      <c r="DN20" s="552">
        <v>1.6453378432347989</v>
      </c>
      <c r="DO20" s="552">
        <v>3.8259216841865111</v>
      </c>
      <c r="DP20" s="552"/>
      <c r="DQ20" s="552">
        <v>4.3392855795728877</v>
      </c>
      <c r="DR20" s="552">
        <v>2.844127985509104</v>
      </c>
      <c r="DS20" s="552">
        <v>-0.51023788215319144</v>
      </c>
      <c r="DT20" s="552">
        <v>-1.8475912056379826</v>
      </c>
      <c r="DU20" s="552">
        <v>-2.4687751203298518</v>
      </c>
      <c r="DV20" s="552">
        <v>-2.4687751203298518</v>
      </c>
      <c r="DW20" s="552">
        <f t="shared" si="53"/>
        <v>-100</v>
      </c>
      <c r="DX20" s="552">
        <f t="shared" si="54"/>
        <v>-100</v>
      </c>
      <c r="DY20" s="552">
        <f t="shared" si="55"/>
        <v>-100</v>
      </c>
      <c r="DZ20" s="552"/>
      <c r="EA20" s="552">
        <f t="shared" si="56"/>
        <v>-100</v>
      </c>
      <c r="EB20" s="552" t="e">
        <f t="shared" si="45"/>
        <v>#DIV/0!</v>
      </c>
      <c r="EC20" s="552" t="e">
        <f t="shared" si="46"/>
        <v>#DIV/0!</v>
      </c>
      <c r="ED20" s="552" t="e">
        <f t="shared" si="47"/>
        <v>#DIV/0!</v>
      </c>
      <c r="EE20" s="552"/>
      <c r="EF20" s="552"/>
      <c r="EG20" s="552" t="e">
        <f t="shared" si="48"/>
        <v>#DIV/0!</v>
      </c>
      <c r="EH20" s="552" t="e">
        <f t="shared" si="57"/>
        <v>#DIV/0!</v>
      </c>
      <c r="EI20" s="552" t="e">
        <f t="shared" si="49"/>
        <v>#DIV/0!</v>
      </c>
      <c r="EJ20" s="552" t="e">
        <f t="shared" si="58"/>
        <v>#DIV/0!</v>
      </c>
      <c r="EK20" s="552"/>
      <c r="EL20" s="552">
        <v>-0.1</v>
      </c>
      <c r="EM20" s="552">
        <v>-0.4</v>
      </c>
      <c r="EN20" s="552">
        <v>1.1000000000000001</v>
      </c>
      <c r="EO20" s="552" t="e">
        <f t="shared" si="50"/>
        <v>#DIV/0!</v>
      </c>
      <c r="EP20" s="552"/>
      <c r="EQ20" s="552" t="e">
        <f t="shared" si="50"/>
        <v>#DIV/0!</v>
      </c>
      <c r="ER20" s="552" t="e">
        <f t="shared" si="50"/>
        <v>#DIV/0!</v>
      </c>
      <c r="ES20" s="552" t="e">
        <f t="shared" si="50"/>
        <v>#DIV/0!</v>
      </c>
      <c r="ET20" s="552" t="e">
        <f t="shared" si="50"/>
        <v>#DIV/0!</v>
      </c>
      <c r="EU20" s="552"/>
      <c r="EV20" s="552" t="e">
        <f t="shared" ref="EV20:EV25" si="60">EV9/EQ9*100-100</f>
        <v>#DIV/0!</v>
      </c>
      <c r="EW20" s="552">
        <v>-1.1000000000000001</v>
      </c>
      <c r="EX20" s="563" t="e">
        <f t="shared" si="51"/>
        <v>#DIV/0!</v>
      </c>
    </row>
    <row r="21" spans="1:154" ht="13.5" customHeight="1" x14ac:dyDescent="0.2">
      <c r="A21" s="551" t="s">
        <v>129</v>
      </c>
      <c r="B21" s="552"/>
      <c r="C21" s="552">
        <f t="shared" si="21"/>
        <v>1.0637232748694991</v>
      </c>
      <c r="D21" s="552">
        <f t="shared" si="22"/>
        <v>-3.7193454003953796</v>
      </c>
      <c r="E21" s="552">
        <f t="shared" si="23"/>
        <v>3.0571691100330201</v>
      </c>
      <c r="F21" s="552">
        <f t="shared" si="24"/>
        <v>-32.479044973268067</v>
      </c>
      <c r="G21" s="552">
        <f t="shared" si="25"/>
        <v>5.1072546981560274</v>
      </c>
      <c r="H21" s="552">
        <f t="shared" si="26"/>
        <v>-1.3667637122560472</v>
      </c>
      <c r="I21" s="552">
        <f t="shared" si="27"/>
        <v>-0.65247753291103328</v>
      </c>
      <c r="J21" s="552">
        <f t="shared" si="28"/>
        <v>0.61412487205729782</v>
      </c>
      <c r="K21" s="552">
        <f t="shared" si="29"/>
        <v>9.7660223804679536</v>
      </c>
      <c r="L21" s="552">
        <f t="shared" si="30"/>
        <v>0.64874884151993051</v>
      </c>
      <c r="M21" s="574"/>
      <c r="N21" s="574"/>
      <c r="O21" s="574"/>
      <c r="P21" s="574"/>
      <c r="Q21" s="574"/>
      <c r="R21" s="614">
        <f t="shared" si="31"/>
        <v>-3.392110996989961</v>
      </c>
      <c r="S21" s="615">
        <f t="shared" si="31"/>
        <v>3.3436604603461095</v>
      </c>
      <c r="T21" s="615">
        <f t="shared" si="31"/>
        <v>1.0637232748694991</v>
      </c>
      <c r="U21" s="574"/>
      <c r="V21" s="552">
        <f t="shared" si="32"/>
        <v>2.5181755288393726</v>
      </c>
      <c r="W21" s="552">
        <f t="shared" si="32"/>
        <v>-0.62642122590690352</v>
      </c>
      <c r="X21" s="552">
        <f t="shared" si="32"/>
        <v>-4.5481454972837394</v>
      </c>
      <c r="Y21" s="552">
        <f t="shared" si="32"/>
        <v>-3.7193454003953796</v>
      </c>
      <c r="Z21" s="552"/>
      <c r="AA21" s="552">
        <f t="shared" si="33"/>
        <v>1.0187310828528195</v>
      </c>
      <c r="AB21" s="552">
        <f t="shared" si="33"/>
        <v>3.5882929364872806</v>
      </c>
      <c r="AC21" s="552">
        <f t="shared" si="33"/>
        <v>4.23220938343154</v>
      </c>
      <c r="AD21" s="552">
        <f t="shared" si="33"/>
        <v>3.0571691100330201</v>
      </c>
      <c r="AE21" s="552"/>
      <c r="AF21" s="552">
        <f t="shared" si="34"/>
        <v>-26.891199666824463</v>
      </c>
      <c r="AG21" s="552">
        <f t="shared" si="34"/>
        <v>-30.948223113878548</v>
      </c>
      <c r="AH21" s="552">
        <f t="shared" si="34"/>
        <v>-30.735050600581882</v>
      </c>
      <c r="AI21" s="552">
        <f t="shared" si="34"/>
        <v>-32.479044973268067</v>
      </c>
      <c r="AJ21" s="552"/>
      <c r="AK21" s="552">
        <f t="shared" si="35"/>
        <v>-4.9318263311791233</v>
      </c>
      <c r="AL21" s="552">
        <f t="shared" si="35"/>
        <v>-0.34211855439103545</v>
      </c>
      <c r="AM21" s="552">
        <f t="shared" si="35"/>
        <v>1.4952179453748604</v>
      </c>
      <c r="AN21" s="552">
        <f t="shared" si="35"/>
        <v>5.1072546981560274</v>
      </c>
      <c r="AO21" s="552"/>
      <c r="AP21" s="552">
        <f t="shared" si="36"/>
        <v>4.1940525829447406</v>
      </c>
      <c r="AQ21" s="552">
        <f t="shared" si="36"/>
        <v>5.6356715328137019</v>
      </c>
      <c r="AR21" s="552">
        <f t="shared" si="36"/>
        <v>0.1991608282642332</v>
      </c>
      <c r="AS21" s="552">
        <f t="shared" si="36"/>
        <v>-1.3667637122560472</v>
      </c>
      <c r="AT21" s="639">
        <f t="shared" si="37"/>
        <v>3.3149171270718369</v>
      </c>
      <c r="AU21" s="548">
        <f t="shared" si="38"/>
        <v>19.813368983957204</v>
      </c>
      <c r="AV21" s="548">
        <f t="shared" si="39"/>
        <v>-1.7034068136272618</v>
      </c>
      <c r="AW21" s="548" t="e">
        <f>#REF!</f>
        <v>#REF!</v>
      </c>
      <c r="AX21" s="548" t="e">
        <f>#REF!</f>
        <v>#REF!</v>
      </c>
      <c r="AY21" s="548" t="e">
        <f>#REF!</f>
        <v>#REF!</v>
      </c>
      <c r="AZ21" s="548" t="e">
        <f t="shared" si="40"/>
        <v>#N/A</v>
      </c>
      <c r="BA21" s="552">
        <v>1.2279762984945819E-2</v>
      </c>
      <c r="BB21" s="552">
        <v>-1.2918212747167868</v>
      </c>
      <c r="BC21" s="552">
        <v>4.5096785211159229</v>
      </c>
      <c r="BD21" s="552">
        <v>-0.65247753291103328</v>
      </c>
      <c r="BE21" s="552"/>
      <c r="BF21" s="552">
        <v>-4.6981314438543027</v>
      </c>
      <c r="BG21" s="552">
        <v>4.0206100781334131</v>
      </c>
      <c r="BH21" s="552">
        <v>-2.3622047244094446</v>
      </c>
      <c r="BI21" s="552">
        <v>0.61412487205729782</v>
      </c>
      <c r="BJ21" s="552"/>
      <c r="BK21" s="552">
        <v>3.2291666666666607</v>
      </c>
      <c r="BL21" s="552">
        <v>-0.28598665395616063</v>
      </c>
      <c r="BM21" s="552">
        <v>6.754032258064524</v>
      </c>
      <c r="BN21" s="552">
        <v>9.7660223804679536</v>
      </c>
      <c r="BO21" s="552"/>
      <c r="BP21" s="552">
        <v>8.7790110998990922</v>
      </c>
      <c r="BQ21" s="552">
        <v>3.7284894837476212</v>
      </c>
      <c r="BR21" s="552">
        <v>2.3607176581680767</v>
      </c>
      <c r="BS21" s="552">
        <v>0.64874884151993051</v>
      </c>
      <c r="BT21" s="552"/>
      <c r="BU21" s="552">
        <v>1.1131725417439675</v>
      </c>
      <c r="BV21" s="552">
        <v>1.658986175115218</v>
      </c>
      <c r="BW21" s="552">
        <v>3.1365313653136662</v>
      </c>
      <c r="BX21" s="552">
        <v>3.3149171270718369</v>
      </c>
      <c r="BY21" s="552"/>
      <c r="BZ21" s="552">
        <v>4.6788990825687993</v>
      </c>
      <c r="CA21" s="552">
        <v>3.5358114233907445</v>
      </c>
      <c r="CB21" s="552">
        <v>18.425760286225401</v>
      </c>
      <c r="CC21" s="552">
        <v>19.813368983957204</v>
      </c>
      <c r="CD21" s="552"/>
      <c r="CE21" s="552">
        <v>17.464066608238383</v>
      </c>
      <c r="CF21" s="552">
        <v>18.658669001751306</v>
      </c>
      <c r="CG21" s="552">
        <v>2.4493202416918436</v>
      </c>
      <c r="CH21" s="552">
        <v>-1.7034068136272618</v>
      </c>
      <c r="CI21" s="552">
        <f t="shared" si="52"/>
        <v>7.7044532960131704</v>
      </c>
      <c r="CJ21" s="552">
        <v>3.1838188845205764</v>
      </c>
      <c r="CK21" s="552">
        <v>-0.62382159811123472</v>
      </c>
      <c r="CL21" s="552">
        <v>4.5636393028343178</v>
      </c>
      <c r="CM21" s="552">
        <v>2.6241581932879399E-2</v>
      </c>
      <c r="CN21" s="552" t="e">
        <v>#N/A</v>
      </c>
      <c r="CO21" s="552" t="e">
        <v>#N/A</v>
      </c>
      <c r="CP21" s="552" t="e">
        <v>#N/A</v>
      </c>
      <c r="CQ21" s="552" t="e">
        <v>#N/A</v>
      </c>
      <c r="CR21" s="552"/>
      <c r="CS21" s="552">
        <v>3.4244817446524394</v>
      </c>
      <c r="CT21" s="552">
        <v>11.289514025617351</v>
      </c>
      <c r="CU21" s="552">
        <v>11.749956769842584</v>
      </c>
      <c r="CV21" s="552">
        <v>7.7044532960131704</v>
      </c>
      <c r="CW21" s="552">
        <v>8.5299283818045524E-3</v>
      </c>
      <c r="CX21" s="552" t="e">
        <f t="shared" si="41"/>
        <v>#DIV/0!</v>
      </c>
      <c r="CY21" s="552" t="e">
        <f t="shared" si="42"/>
        <v>#DIV/0!</v>
      </c>
      <c r="CZ21" s="552">
        <f t="shared" si="43"/>
        <v>4</v>
      </c>
      <c r="DA21" s="552" t="e">
        <f t="shared" si="44"/>
        <v>#DIV/0!</v>
      </c>
      <c r="DB21" s="552">
        <v>9.2873703391212103</v>
      </c>
      <c r="DC21" s="552">
        <v>1.5667841754798246</v>
      </c>
      <c r="DD21" s="552">
        <v>0.48001805286912713</v>
      </c>
      <c r="DE21" s="552">
        <v>3.1838188845205764</v>
      </c>
      <c r="DF21" s="552"/>
      <c r="DG21" s="552">
        <v>-2.4082003373706584E-3</v>
      </c>
      <c r="DH21" s="552">
        <v>-1.8162893688134716</v>
      </c>
      <c r="DI21" s="552">
        <v>-1.2592846711030603</v>
      </c>
      <c r="DJ21" s="552">
        <v>-0.62382159811123472</v>
      </c>
      <c r="DK21" s="552"/>
      <c r="DL21" s="552">
        <v>4.3911221026241805</v>
      </c>
      <c r="DM21" s="552">
        <v>5.3356193829545191</v>
      </c>
      <c r="DN21" s="552">
        <v>4.5636393028343178</v>
      </c>
      <c r="DO21" s="552">
        <v>4.5636393028343178</v>
      </c>
      <c r="DP21" s="552"/>
      <c r="DQ21" s="552">
        <v>2.6241581932879399E-2</v>
      </c>
      <c r="DR21" s="552">
        <v>2.6241581932879399E-2</v>
      </c>
      <c r="DS21" s="552">
        <v>2.6241581932879399E-2</v>
      </c>
      <c r="DT21" s="552">
        <v>2.6241581932879399E-2</v>
      </c>
      <c r="DU21" s="552">
        <v>8.5299283818045524E-3</v>
      </c>
      <c r="DV21" s="552">
        <v>8.5299283818045524E-3</v>
      </c>
      <c r="DW21" s="552">
        <f t="shared" si="53"/>
        <v>-100</v>
      </c>
      <c r="DX21" s="552">
        <f t="shared" si="54"/>
        <v>-100</v>
      </c>
      <c r="DY21" s="552">
        <f t="shared" si="55"/>
        <v>-100</v>
      </c>
      <c r="DZ21" s="552"/>
      <c r="EA21" s="552">
        <f t="shared" si="56"/>
        <v>-100</v>
      </c>
      <c r="EB21" s="552" t="e">
        <f t="shared" si="45"/>
        <v>#DIV/0!</v>
      </c>
      <c r="EC21" s="552" t="e">
        <f t="shared" si="46"/>
        <v>#DIV/0!</v>
      </c>
      <c r="ED21" s="552" t="e">
        <f t="shared" si="47"/>
        <v>#DIV/0!</v>
      </c>
      <c r="EE21" s="552"/>
      <c r="EF21" s="552"/>
      <c r="EG21" s="552" t="e">
        <f t="shared" si="48"/>
        <v>#DIV/0!</v>
      </c>
      <c r="EH21" s="552" t="e">
        <f t="shared" si="57"/>
        <v>#DIV/0!</v>
      </c>
      <c r="EI21" s="552" t="e">
        <f t="shared" si="49"/>
        <v>#DIV/0!</v>
      </c>
      <c r="EJ21" s="552" t="e">
        <f t="shared" si="58"/>
        <v>#DIV/0!</v>
      </c>
      <c r="EK21" s="552"/>
      <c r="EL21" s="552" t="e">
        <f t="shared" si="50"/>
        <v>#DIV/0!</v>
      </c>
      <c r="EM21" s="552" t="e">
        <f t="shared" si="50"/>
        <v>#DIV/0!</v>
      </c>
      <c r="EN21" s="552" t="e">
        <f t="shared" si="50"/>
        <v>#DIV/0!</v>
      </c>
      <c r="EO21" s="552">
        <v>4</v>
      </c>
      <c r="EP21" s="552"/>
      <c r="EQ21" s="552">
        <v>-0.8</v>
      </c>
      <c r="ER21" s="552" t="e">
        <f t="shared" si="50"/>
        <v>#DIV/0!</v>
      </c>
      <c r="ES21" s="552" t="e">
        <f t="shared" si="50"/>
        <v>#DIV/0!</v>
      </c>
      <c r="ET21" s="552" t="e">
        <f>ET10/EO10*100-100</f>
        <v>#DIV/0!</v>
      </c>
      <c r="EU21" s="552"/>
      <c r="EV21" s="552" t="e">
        <f t="shared" si="60"/>
        <v>#DIV/0!</v>
      </c>
      <c r="EW21" s="552" t="e">
        <f t="shared" si="59"/>
        <v>#DIV/0!</v>
      </c>
      <c r="EX21" s="563" t="e">
        <f t="shared" si="51"/>
        <v>#DIV/0!</v>
      </c>
    </row>
    <row r="22" spans="1:154" ht="13.5" customHeight="1" x14ac:dyDescent="0.2">
      <c r="A22" s="551" t="s">
        <v>130</v>
      </c>
      <c r="B22" s="552"/>
      <c r="C22" s="552">
        <f t="shared" si="21"/>
        <v>1.0823082366617331</v>
      </c>
      <c r="D22" s="552">
        <f t="shared" si="22"/>
        <v>4.0097864399798455</v>
      </c>
      <c r="E22" s="552">
        <f t="shared" si="23"/>
        <v>0.21324641206919015</v>
      </c>
      <c r="F22" s="552">
        <f t="shared" si="24"/>
        <v>-23.470831579476815</v>
      </c>
      <c r="G22" s="552">
        <f t="shared" si="25"/>
        <v>1.7006269497690019</v>
      </c>
      <c r="H22" s="552">
        <f t="shared" si="26"/>
        <v>-6.3699508027755041</v>
      </c>
      <c r="I22" s="552">
        <f t="shared" si="27"/>
        <v>4.8492470240823593</v>
      </c>
      <c r="J22" s="552">
        <f t="shared" si="28"/>
        <v>-7.8708375378405693</v>
      </c>
      <c r="K22" s="552">
        <f t="shared" si="29"/>
        <v>8.4337349397590309</v>
      </c>
      <c r="L22" s="552">
        <f t="shared" si="30"/>
        <v>22.626262626262637</v>
      </c>
      <c r="M22" s="574"/>
      <c r="N22" s="574"/>
      <c r="O22" s="574"/>
      <c r="P22" s="574"/>
      <c r="Q22" s="574"/>
      <c r="R22" s="614">
        <f t="shared" si="31"/>
        <v>8.974604023226739</v>
      </c>
      <c r="S22" s="615">
        <f t="shared" si="31"/>
        <v>6.2990514922426355</v>
      </c>
      <c r="T22" s="615">
        <f t="shared" si="31"/>
        <v>1.0823082366617331</v>
      </c>
      <c r="U22" s="574"/>
      <c r="V22" s="552">
        <f t="shared" si="32"/>
        <v>7.5935563797850936</v>
      </c>
      <c r="W22" s="552">
        <f t="shared" si="32"/>
        <v>2.3157384298650552</v>
      </c>
      <c r="X22" s="552">
        <f t="shared" si="32"/>
        <v>3.166321429563812</v>
      </c>
      <c r="Y22" s="552">
        <f t="shared" si="32"/>
        <v>4.0097864399798455</v>
      </c>
      <c r="Z22" s="552"/>
      <c r="AA22" s="552">
        <f t="shared" si="33"/>
        <v>6.6206287712414991</v>
      </c>
      <c r="AB22" s="552">
        <f t="shared" si="33"/>
        <v>4.1713236244736107</v>
      </c>
      <c r="AC22" s="552">
        <f t="shared" si="33"/>
        <v>2.8967548282294642</v>
      </c>
      <c r="AD22" s="552">
        <f t="shared" si="33"/>
        <v>0.21324641206919015</v>
      </c>
      <c r="AE22" s="552"/>
      <c r="AF22" s="552">
        <f t="shared" si="34"/>
        <v>-24.914993884105218</v>
      </c>
      <c r="AG22" s="552">
        <f t="shared" si="34"/>
        <v>-24.990221838091344</v>
      </c>
      <c r="AH22" s="552">
        <f t="shared" si="34"/>
        <v>-24.437218649415826</v>
      </c>
      <c r="AI22" s="552">
        <f t="shared" si="34"/>
        <v>-23.470831579476815</v>
      </c>
      <c r="AJ22" s="552"/>
      <c r="AK22" s="552">
        <f t="shared" si="35"/>
        <v>-1.6832590866525998</v>
      </c>
      <c r="AL22" s="552">
        <f t="shared" si="35"/>
        <v>0.73947683327701963</v>
      </c>
      <c r="AM22" s="552">
        <f t="shared" si="35"/>
        <v>1.158662193537574</v>
      </c>
      <c r="AN22" s="552">
        <f t="shared" si="35"/>
        <v>1.7006269497690019</v>
      </c>
      <c r="AO22" s="552"/>
      <c r="AP22" s="552">
        <f t="shared" si="36"/>
        <v>1.5828883962074825</v>
      </c>
      <c r="AQ22" s="552">
        <f t="shared" si="36"/>
        <v>-0.24208049390957997</v>
      </c>
      <c r="AR22" s="552">
        <f t="shared" si="36"/>
        <v>-5.967601231930864</v>
      </c>
      <c r="AS22" s="552">
        <f t="shared" si="36"/>
        <v>-6.3699508027755041</v>
      </c>
      <c r="AT22" s="639">
        <f t="shared" si="37"/>
        <v>1.8121911037891181</v>
      </c>
      <c r="AU22" s="548">
        <f t="shared" si="38"/>
        <v>5.3883495145631288</v>
      </c>
      <c r="AV22" s="548">
        <f t="shared" si="39"/>
        <v>10.77844311377245</v>
      </c>
      <c r="AW22" s="548" t="e">
        <f>#REF!</f>
        <v>#REF!</v>
      </c>
      <c r="AX22" s="548" t="e">
        <f>#REF!</f>
        <v>#REF!</v>
      </c>
      <c r="AY22" s="548" t="e">
        <f>#REF!</f>
        <v>#REF!</v>
      </c>
      <c r="AZ22" s="548" t="e">
        <f t="shared" si="40"/>
        <v>#N/A</v>
      </c>
      <c r="BA22" s="552">
        <v>-3.0401068794042807</v>
      </c>
      <c r="BB22" s="552">
        <v>-1.298376252759359</v>
      </c>
      <c r="BC22" s="552">
        <v>2.231775046973028</v>
      </c>
      <c r="BD22" s="552">
        <v>4.8492470240823593</v>
      </c>
      <c r="BE22" s="552"/>
      <c r="BF22" s="552">
        <v>-1.1616568169868891</v>
      </c>
      <c r="BG22" s="552">
        <v>-3.6511190985091035</v>
      </c>
      <c r="BH22" s="552">
        <v>-5.1759834368530155</v>
      </c>
      <c r="BI22" s="552">
        <v>-7.8708375378405693</v>
      </c>
      <c r="BJ22" s="552"/>
      <c r="BK22" s="552">
        <v>-1.9832985386221358</v>
      </c>
      <c r="BL22" s="552">
        <v>-1.1677282377919429</v>
      </c>
      <c r="BM22" s="552">
        <v>4.4759825327510994</v>
      </c>
      <c r="BN22" s="552">
        <v>8.4337349397590309</v>
      </c>
      <c r="BO22" s="552"/>
      <c r="BP22" s="552">
        <v>7.561235356762519</v>
      </c>
      <c r="BQ22" s="552">
        <v>16.86358754027928</v>
      </c>
      <c r="BR22" s="552">
        <v>20.898641588296773</v>
      </c>
      <c r="BS22" s="552">
        <v>22.626262626262637</v>
      </c>
      <c r="BT22" s="552"/>
      <c r="BU22" s="552">
        <v>19.504950495049499</v>
      </c>
      <c r="BV22" s="552">
        <v>12.775735294117641</v>
      </c>
      <c r="BW22" s="552">
        <v>7.0008643042350771</v>
      </c>
      <c r="BX22" s="552">
        <v>1.8121911037891181</v>
      </c>
      <c r="BY22" s="552"/>
      <c r="BZ22" s="552">
        <v>-3.7282518641259199</v>
      </c>
      <c r="CA22" s="552">
        <v>-0.73349633251835744</v>
      </c>
      <c r="CB22" s="552">
        <v>-0.56542810985459324</v>
      </c>
      <c r="CC22" s="552">
        <v>5.3883495145631288</v>
      </c>
      <c r="CD22" s="552"/>
      <c r="CE22" s="552">
        <v>17.134251290877799</v>
      </c>
      <c r="CF22" s="552">
        <v>17.939244663382613</v>
      </c>
      <c r="CG22" s="552">
        <v>12.680747359870036</v>
      </c>
      <c r="CH22" s="552">
        <v>10.77844311377245</v>
      </c>
      <c r="CI22" s="552">
        <f t="shared" si="52"/>
        <v>10.355497184070543</v>
      </c>
      <c r="CJ22" s="552">
        <v>-7.6333318204740266</v>
      </c>
      <c r="CK22" s="552">
        <v>4.4485202806945523</v>
      </c>
      <c r="CL22" s="552">
        <v>8.7709494960004832</v>
      </c>
      <c r="CM22" s="552">
        <v>1.7088916658560578</v>
      </c>
      <c r="CN22" s="552" t="e">
        <v>#N/A</v>
      </c>
      <c r="CO22" s="552" t="e">
        <v>#N/A</v>
      </c>
      <c r="CP22" s="552" t="e">
        <v>#N/A</v>
      </c>
      <c r="CQ22" s="552" t="e">
        <v>#N/A</v>
      </c>
      <c r="CR22" s="552"/>
      <c r="CS22" s="552">
        <v>23.73629968918695</v>
      </c>
      <c r="CT22" s="552">
        <v>28.520060560181633</v>
      </c>
      <c r="CU22" s="552">
        <v>24.13087232971958</v>
      </c>
      <c r="CV22" s="552">
        <v>10.355497184070543</v>
      </c>
      <c r="CW22" s="552">
        <v>-0.81285221186729473</v>
      </c>
      <c r="CX22" s="552" t="e">
        <f t="shared" si="41"/>
        <v>#DIV/0!</v>
      </c>
      <c r="CY22" s="552" t="e">
        <f t="shared" si="42"/>
        <v>#DIV/0!</v>
      </c>
      <c r="CZ22" s="552">
        <f t="shared" si="43"/>
        <v>4.5</v>
      </c>
      <c r="DA22" s="552" t="e">
        <f t="shared" si="44"/>
        <v>#DIV/0!</v>
      </c>
      <c r="DB22" s="552">
        <v>-8.7625594923320733</v>
      </c>
      <c r="DC22" s="552">
        <v>-13.434447553134007</v>
      </c>
      <c r="DD22" s="552">
        <v>-14.887296512966969</v>
      </c>
      <c r="DE22" s="552">
        <v>-7.6333318204740266</v>
      </c>
      <c r="DF22" s="552"/>
      <c r="DG22" s="552">
        <v>7.6353712397843765</v>
      </c>
      <c r="DH22" s="552">
        <v>6.8316602404173068</v>
      </c>
      <c r="DI22" s="552">
        <v>2.177379752234927</v>
      </c>
      <c r="DJ22" s="552">
        <v>4.4485202806945523</v>
      </c>
      <c r="DK22" s="552"/>
      <c r="DL22" s="552">
        <v>12.704349488738131</v>
      </c>
      <c r="DM22" s="552">
        <v>15.957034759263038</v>
      </c>
      <c r="DN22" s="552">
        <v>10.071554007597101</v>
      </c>
      <c r="DO22" s="552">
        <v>8.7709494960004832</v>
      </c>
      <c r="DP22" s="552"/>
      <c r="DQ22" s="552">
        <v>1.1233725407495285</v>
      </c>
      <c r="DR22" s="552">
        <v>-2.2172761704146353</v>
      </c>
      <c r="DS22" s="552">
        <v>0.93370193380472699</v>
      </c>
      <c r="DT22" s="552">
        <v>1.7088916658560578</v>
      </c>
      <c r="DU22" s="552">
        <v>1.6602650218975725</v>
      </c>
      <c r="DV22" s="552">
        <v>1.6602650218975725</v>
      </c>
      <c r="DW22" s="552">
        <f t="shared" si="53"/>
        <v>-100</v>
      </c>
      <c r="DX22" s="552">
        <f t="shared" si="54"/>
        <v>-100</v>
      </c>
      <c r="DY22" s="552">
        <f t="shared" si="55"/>
        <v>-100</v>
      </c>
      <c r="DZ22" s="552"/>
      <c r="EA22" s="552">
        <f t="shared" si="56"/>
        <v>-100</v>
      </c>
      <c r="EB22" s="552" t="e">
        <f t="shared" si="45"/>
        <v>#DIV/0!</v>
      </c>
      <c r="EC22" s="552" t="e">
        <f t="shared" si="46"/>
        <v>#DIV/0!</v>
      </c>
      <c r="ED22" s="552" t="e">
        <f t="shared" si="47"/>
        <v>#DIV/0!</v>
      </c>
      <c r="EE22" s="552"/>
      <c r="EF22" s="552"/>
      <c r="EG22" s="552" t="e">
        <f t="shared" si="48"/>
        <v>#DIV/0!</v>
      </c>
      <c r="EH22" s="552" t="e">
        <f t="shared" si="57"/>
        <v>#DIV/0!</v>
      </c>
      <c r="EI22" s="552" t="e">
        <f t="shared" si="49"/>
        <v>#DIV/0!</v>
      </c>
      <c r="EJ22" s="552" t="e">
        <f t="shared" si="58"/>
        <v>#DIV/0!</v>
      </c>
      <c r="EK22" s="552"/>
      <c r="EL22" s="552" t="e">
        <f t="shared" si="50"/>
        <v>#DIV/0!</v>
      </c>
      <c r="EM22" s="552">
        <v>-5.3</v>
      </c>
      <c r="EN22" s="552" t="e">
        <f t="shared" si="50"/>
        <v>#DIV/0!</v>
      </c>
      <c r="EO22" s="552">
        <v>4.5</v>
      </c>
      <c r="EP22" s="552"/>
      <c r="EQ22" s="552">
        <v>17.600000000000001</v>
      </c>
      <c r="ER22" s="552" t="e">
        <f t="shared" si="50"/>
        <v>#DIV/0!</v>
      </c>
      <c r="ES22" s="552">
        <v>5.5</v>
      </c>
      <c r="ET22" s="552" t="e">
        <f t="shared" si="50"/>
        <v>#DIV/0!</v>
      </c>
      <c r="EU22" s="552"/>
      <c r="EV22" s="552" t="e">
        <f t="shared" si="60"/>
        <v>#DIV/0!</v>
      </c>
      <c r="EW22" s="552" t="e">
        <f t="shared" si="59"/>
        <v>#DIV/0!</v>
      </c>
      <c r="EX22" s="563" t="e">
        <f t="shared" si="51"/>
        <v>#DIV/0!</v>
      </c>
    </row>
    <row r="23" spans="1:154" ht="13.5" customHeight="1" x14ac:dyDescent="0.2">
      <c r="A23" s="551" t="s">
        <v>131</v>
      </c>
      <c r="B23" s="552"/>
      <c r="C23" s="552">
        <f t="shared" si="21"/>
        <v>4.4534553836632407</v>
      </c>
      <c r="D23" s="552">
        <f t="shared" si="22"/>
        <v>7.3771095839132883</v>
      </c>
      <c r="E23" s="552">
        <f t="shared" si="23"/>
        <v>1.0793791822500731</v>
      </c>
      <c r="F23" s="552">
        <f t="shared" si="24"/>
        <v>-35.755153199115263</v>
      </c>
      <c r="G23" s="552">
        <f t="shared" si="25"/>
        <v>3.4655847695008068</v>
      </c>
      <c r="H23" s="552">
        <f t="shared" si="26"/>
        <v>1.9038179142676581</v>
      </c>
      <c r="I23" s="552">
        <f t="shared" si="27"/>
        <v>2.4222510000498687</v>
      </c>
      <c r="J23" s="552">
        <f t="shared" si="28"/>
        <v>1.2416427889207382</v>
      </c>
      <c r="K23" s="552">
        <f t="shared" si="29"/>
        <v>21.415094339622655</v>
      </c>
      <c r="L23" s="552">
        <f t="shared" si="30"/>
        <v>18.570318570318566</v>
      </c>
      <c r="M23" s="574"/>
      <c r="N23" s="574"/>
      <c r="O23" s="574"/>
      <c r="P23" s="574"/>
      <c r="Q23" s="574"/>
      <c r="R23" s="614">
        <f t="shared" si="31"/>
        <v>25.915603971356525</v>
      </c>
      <c r="S23" s="615">
        <f t="shared" si="31"/>
        <v>3.667453942953558</v>
      </c>
      <c r="T23" s="615">
        <f t="shared" si="31"/>
        <v>4.4534553836632407</v>
      </c>
      <c r="U23" s="574"/>
      <c r="V23" s="552">
        <f t="shared" si="32"/>
        <v>2.1267037245026765</v>
      </c>
      <c r="W23" s="552">
        <f t="shared" si="32"/>
        <v>7.4063034853897758</v>
      </c>
      <c r="X23" s="552">
        <f t="shared" si="32"/>
        <v>5.7875542748524911</v>
      </c>
      <c r="Y23" s="552">
        <f t="shared" si="32"/>
        <v>7.3771095839132883</v>
      </c>
      <c r="Z23" s="552"/>
      <c r="AA23" s="552">
        <f t="shared" si="33"/>
        <v>6.447131938815942</v>
      </c>
      <c r="AB23" s="552">
        <f t="shared" si="33"/>
        <v>1.8365982190857943</v>
      </c>
      <c r="AC23" s="552">
        <f t="shared" si="33"/>
        <v>2.4844720500279971</v>
      </c>
      <c r="AD23" s="552">
        <f t="shared" si="33"/>
        <v>1.0793791822500731</v>
      </c>
      <c r="AE23" s="552"/>
      <c r="AF23" s="552">
        <f t="shared" si="34"/>
        <v>-36.838818398101026</v>
      </c>
      <c r="AG23" s="552">
        <f t="shared" si="34"/>
        <v>-35.955357799332035</v>
      </c>
      <c r="AH23" s="552">
        <f t="shared" si="34"/>
        <v>-34.775463954539212</v>
      </c>
      <c r="AI23" s="552">
        <f t="shared" si="34"/>
        <v>-35.755153199115263</v>
      </c>
      <c r="AJ23" s="552"/>
      <c r="AK23" s="552">
        <f t="shared" si="35"/>
        <v>1.5013973027730998</v>
      </c>
      <c r="AL23" s="552">
        <f t="shared" si="35"/>
        <v>1.8329777696854732</v>
      </c>
      <c r="AM23" s="552">
        <f t="shared" si="35"/>
        <v>1.3376156186049259</v>
      </c>
      <c r="AN23" s="552">
        <f t="shared" si="35"/>
        <v>3.4655847695008068</v>
      </c>
      <c r="AO23" s="552"/>
      <c r="AP23" s="552">
        <f t="shared" si="36"/>
        <v>3.9201064927635754</v>
      </c>
      <c r="AQ23" s="552">
        <f t="shared" si="36"/>
        <v>3.3683380005027796</v>
      </c>
      <c r="AR23" s="552">
        <f t="shared" si="36"/>
        <v>2.7061764382545928</v>
      </c>
      <c r="AS23" s="552">
        <f t="shared" si="36"/>
        <v>1.9038179142676581</v>
      </c>
      <c r="AT23" s="639">
        <f t="shared" si="37"/>
        <v>2.6867627785059023</v>
      </c>
      <c r="AU23" s="548">
        <f t="shared" si="38"/>
        <v>3.8927887683471774</v>
      </c>
      <c r="AV23" s="548">
        <f t="shared" si="39"/>
        <v>47.2</v>
      </c>
      <c r="AW23" s="548" t="e">
        <f>#REF!</f>
        <v>#REF!</v>
      </c>
      <c r="AX23" s="548" t="e">
        <f>#REF!</f>
        <v>#REF!</v>
      </c>
      <c r="AY23" s="548" t="e">
        <f>#REF!</f>
        <v>#REF!</v>
      </c>
      <c r="AZ23" s="548" t="e">
        <f t="shared" si="40"/>
        <v>#N/A</v>
      </c>
      <c r="BA23" s="552">
        <v>3.182149564978709</v>
      </c>
      <c r="BB23" s="552">
        <v>3.1755857078681782</v>
      </c>
      <c r="BC23" s="552">
        <v>2.7373395743356621</v>
      </c>
      <c r="BD23" s="552">
        <v>2.4222510000498687</v>
      </c>
      <c r="BE23" s="552"/>
      <c r="BF23" s="552">
        <v>-1.6063920787229513</v>
      </c>
      <c r="BG23" s="552">
        <v>16.124119072362664</v>
      </c>
      <c r="BH23" s="552">
        <v>6.1728395061728225</v>
      </c>
      <c r="BI23" s="552">
        <v>1.2416427889207382</v>
      </c>
      <c r="BJ23" s="552"/>
      <c r="BK23" s="552">
        <v>3.2352941176470695</v>
      </c>
      <c r="BL23" s="552">
        <v>-11.914543960558744</v>
      </c>
      <c r="BM23" s="552">
        <v>-1.9677996422182265</v>
      </c>
      <c r="BN23" s="552">
        <v>21.415094339622655</v>
      </c>
      <c r="BO23" s="552"/>
      <c r="BP23" s="552">
        <v>41.785375118708458</v>
      </c>
      <c r="BQ23" s="552">
        <v>39.645522388059675</v>
      </c>
      <c r="BR23" s="552">
        <v>36.678832116788328</v>
      </c>
      <c r="BS23" s="552">
        <v>18.570318570318566</v>
      </c>
      <c r="BT23" s="552"/>
      <c r="BU23" s="552">
        <v>3.2150033489618091</v>
      </c>
      <c r="BV23" s="552">
        <v>2.1376085504342113</v>
      </c>
      <c r="BW23" s="552">
        <v>3.3377837116155051</v>
      </c>
      <c r="BX23" s="552">
        <v>2.6867627785059023</v>
      </c>
      <c r="BY23" s="552"/>
      <c r="BZ23" s="552">
        <v>1.8170019467877996</v>
      </c>
      <c r="CA23" s="552">
        <v>2.9431000654022155</v>
      </c>
      <c r="CB23" s="552">
        <v>5.1679586563307511</v>
      </c>
      <c r="CC23" s="552">
        <v>3.8927887683471774</v>
      </c>
      <c r="CD23" s="552"/>
      <c r="CE23" s="552">
        <v>9.2596558317399769</v>
      </c>
      <c r="CF23" s="552">
        <v>17.497331639135961</v>
      </c>
      <c r="CG23" s="552">
        <v>34.799999999999997</v>
      </c>
      <c r="CH23" s="552">
        <v>47.2</v>
      </c>
      <c r="CI23" s="552">
        <f t="shared" si="52"/>
        <v>8.0941436385340069</v>
      </c>
      <c r="CJ23" s="552">
        <v>-1.3832179550574466</v>
      </c>
      <c r="CK23" s="552">
        <v>24.020104044926711</v>
      </c>
      <c r="CL23" s="552">
        <v>1.7802708536627705</v>
      </c>
      <c r="CM23" s="552">
        <v>0.17757237651380819</v>
      </c>
      <c r="CN23" s="552" t="e">
        <v>#N/A</v>
      </c>
      <c r="CO23" s="552" t="e">
        <v>#N/A</v>
      </c>
      <c r="CP23" s="552" t="e">
        <v>#N/A</v>
      </c>
      <c r="CQ23" s="552" t="e">
        <v>#N/A</v>
      </c>
      <c r="CR23" s="552"/>
      <c r="CS23" s="552">
        <v>7.2847009859279979</v>
      </c>
      <c r="CT23" s="552">
        <v>6.8409981231656332</v>
      </c>
      <c r="CU23" s="552">
        <v>11.735803857341878</v>
      </c>
      <c r="CV23" s="552">
        <v>8.0941436385340069</v>
      </c>
      <c r="CW23" s="552">
        <v>-1.9607581233469347</v>
      </c>
      <c r="CX23" s="552" t="e">
        <f t="shared" si="41"/>
        <v>#DIV/0!</v>
      </c>
      <c r="CY23" s="552" t="e">
        <f t="shared" si="42"/>
        <v>#DIV/0!</v>
      </c>
      <c r="CZ23" s="552">
        <f t="shared" si="43"/>
        <v>29.9</v>
      </c>
      <c r="DA23" s="552" t="e">
        <f t="shared" si="44"/>
        <v>#DIV/0!</v>
      </c>
      <c r="DB23" s="552">
        <v>9.9231224127734663</v>
      </c>
      <c r="DC23" s="552">
        <v>9.862060834708771</v>
      </c>
      <c r="DD23" s="552">
        <v>-0.29621855173924416</v>
      </c>
      <c r="DE23" s="552">
        <v>-1.3832179550574466</v>
      </c>
      <c r="DF23" s="552"/>
      <c r="DG23" s="552">
        <v>4.3009204863352579</v>
      </c>
      <c r="DH23" s="552">
        <v>3.9998057627300483</v>
      </c>
      <c r="DI23" s="552">
        <v>21.737327537838851</v>
      </c>
      <c r="DJ23" s="552">
        <v>24.020104044926711</v>
      </c>
      <c r="DK23" s="552"/>
      <c r="DL23" s="552">
        <v>15.033254546975201</v>
      </c>
      <c r="DM23" s="552">
        <v>15.817292642267461</v>
      </c>
      <c r="DN23" s="552">
        <v>2.1023966743393316</v>
      </c>
      <c r="DO23" s="552">
        <v>1.7802708536627705</v>
      </c>
      <c r="DP23" s="552"/>
      <c r="DQ23" s="552">
        <v>2.3302120443558465</v>
      </c>
      <c r="DR23" s="552">
        <v>0.65051731268128776</v>
      </c>
      <c r="DS23" s="552">
        <v>-0.21044455608030432</v>
      </c>
      <c r="DT23" s="552">
        <v>0.17757237651380819</v>
      </c>
      <c r="DU23" s="552">
        <v>-3.7581255005552237</v>
      </c>
      <c r="DV23" s="552">
        <v>-3.7581255005552237</v>
      </c>
      <c r="DW23" s="552">
        <f t="shared" si="53"/>
        <v>-100</v>
      </c>
      <c r="DX23" s="552">
        <f t="shared" si="54"/>
        <v>-100</v>
      </c>
      <c r="DY23" s="552">
        <f t="shared" si="55"/>
        <v>-100</v>
      </c>
      <c r="DZ23" s="552"/>
      <c r="EA23" s="552">
        <f t="shared" si="56"/>
        <v>-100</v>
      </c>
      <c r="EB23" s="552" t="e">
        <f t="shared" si="45"/>
        <v>#DIV/0!</v>
      </c>
      <c r="EC23" s="552" t="e">
        <f t="shared" si="46"/>
        <v>#DIV/0!</v>
      </c>
      <c r="ED23" s="552" t="e">
        <f t="shared" si="47"/>
        <v>#DIV/0!</v>
      </c>
      <c r="EE23" s="552"/>
      <c r="EF23" s="552"/>
      <c r="EG23" s="552" t="e">
        <f t="shared" si="48"/>
        <v>#DIV/0!</v>
      </c>
      <c r="EH23" s="552" t="e">
        <f t="shared" si="57"/>
        <v>#DIV/0!</v>
      </c>
      <c r="EI23" s="552" t="e">
        <f t="shared" si="49"/>
        <v>#DIV/0!</v>
      </c>
      <c r="EJ23" s="552" t="e">
        <f t="shared" si="58"/>
        <v>#DIV/0!</v>
      </c>
      <c r="EK23" s="552"/>
      <c r="EL23" s="552">
        <v>12.9</v>
      </c>
      <c r="EM23" s="552">
        <v>18.600000000000001</v>
      </c>
      <c r="EN23" s="552">
        <v>28</v>
      </c>
      <c r="EO23" s="552">
        <v>29.9</v>
      </c>
      <c r="EP23" s="552"/>
      <c r="EQ23" s="552">
        <v>27.1</v>
      </c>
      <c r="ER23" s="552">
        <v>22.5</v>
      </c>
      <c r="ES23" s="552">
        <v>20.5</v>
      </c>
      <c r="ET23" s="552" t="e">
        <f t="shared" si="50"/>
        <v>#DIV/0!</v>
      </c>
      <c r="EU23" s="552"/>
      <c r="EV23" s="552" t="e">
        <f t="shared" si="60"/>
        <v>#DIV/0!</v>
      </c>
      <c r="EW23" s="552" t="e">
        <f t="shared" si="59"/>
        <v>#DIV/0!</v>
      </c>
      <c r="EX23" s="563" t="e">
        <f t="shared" si="51"/>
        <v>#DIV/0!</v>
      </c>
    </row>
    <row r="24" spans="1:154" ht="13.5" customHeight="1" x14ac:dyDescent="0.2">
      <c r="A24" s="551" t="s">
        <v>132</v>
      </c>
      <c r="B24" s="552"/>
      <c r="C24" s="552">
        <f t="shared" si="21"/>
        <v>8.276273979273018</v>
      </c>
      <c r="D24" s="552">
        <f t="shared" si="22"/>
        <v>-2.4128529647184926</v>
      </c>
      <c r="E24" s="552">
        <f t="shared" si="23"/>
        <v>12.217181637607123</v>
      </c>
      <c r="F24" s="552">
        <f t="shared" si="24"/>
        <v>-32.356978591923045</v>
      </c>
      <c r="G24" s="552">
        <f t="shared" si="25"/>
        <v>-2.1661855323797496</v>
      </c>
      <c r="H24" s="552">
        <f t="shared" si="26"/>
        <v>1.4066065313027565</v>
      </c>
      <c r="I24" s="552">
        <f t="shared" si="27"/>
        <v>5.6157852866902225</v>
      </c>
      <c r="J24" s="552">
        <f t="shared" si="28"/>
        <v>0.75117370892019419</v>
      </c>
      <c r="K24" s="552">
        <f t="shared" si="29"/>
        <v>12.395153774464118</v>
      </c>
      <c r="L24" s="552">
        <f t="shared" si="30"/>
        <v>5.0580431177446039</v>
      </c>
      <c r="M24" s="564"/>
      <c r="N24" s="564"/>
      <c r="O24" s="564"/>
      <c r="P24" s="564"/>
      <c r="Q24" s="565"/>
      <c r="R24" s="566">
        <f t="shared" si="31"/>
        <v>23.830331756417799</v>
      </c>
      <c r="S24" s="567">
        <f t="shared" si="31"/>
        <v>4.6412871066048522</v>
      </c>
      <c r="T24" s="567">
        <f t="shared" si="31"/>
        <v>8.276273979273018</v>
      </c>
      <c r="U24" s="565"/>
      <c r="V24" s="568">
        <f t="shared" si="32"/>
        <v>1.6123660848713195</v>
      </c>
      <c r="W24" s="568">
        <f t="shared" si="32"/>
        <v>5.0090310020125761</v>
      </c>
      <c r="X24" s="568">
        <f t="shared" si="32"/>
        <v>0.55972156145585039</v>
      </c>
      <c r="Y24" s="568">
        <f t="shared" si="32"/>
        <v>-2.4128529647184926</v>
      </c>
      <c r="Z24" s="568"/>
      <c r="AA24" s="568">
        <f t="shared" si="33"/>
        <v>8.2913154707335615</v>
      </c>
      <c r="AB24" s="568">
        <f t="shared" si="33"/>
        <v>1.2202700064272376</v>
      </c>
      <c r="AC24" s="568">
        <f t="shared" si="33"/>
        <v>9.521960181087529</v>
      </c>
      <c r="AD24" s="568">
        <f t="shared" si="33"/>
        <v>12.217181637607123</v>
      </c>
      <c r="AE24" s="568"/>
      <c r="AF24" s="568">
        <f t="shared" si="34"/>
        <v>-27.41391996154805</v>
      </c>
      <c r="AG24" s="568">
        <f t="shared" si="34"/>
        <v>-27.142259728230155</v>
      </c>
      <c r="AH24" s="568">
        <f t="shared" si="34"/>
        <v>-32.088894109807129</v>
      </c>
      <c r="AI24" s="568">
        <f t="shared" si="34"/>
        <v>-32.356978591923045</v>
      </c>
      <c r="AJ24" s="568"/>
      <c r="AK24" s="568">
        <f t="shared" si="35"/>
        <v>-1.5215321087778122</v>
      </c>
      <c r="AL24" s="568">
        <f t="shared" si="35"/>
        <v>-0.38529226084739188</v>
      </c>
      <c r="AM24" s="568">
        <f t="shared" si="35"/>
        <v>-1.1021248694390362</v>
      </c>
      <c r="AN24" s="568">
        <f t="shared" si="35"/>
        <v>-2.1661855323797496</v>
      </c>
      <c r="AO24" s="568"/>
      <c r="AP24" s="568">
        <f t="shared" si="36"/>
        <v>-4.9997719802150176</v>
      </c>
      <c r="AQ24" s="568">
        <f t="shared" si="36"/>
        <v>-1.2366745683533797</v>
      </c>
      <c r="AR24" s="568">
        <f t="shared" si="36"/>
        <v>0.84003847803253429</v>
      </c>
      <c r="AS24" s="568">
        <f t="shared" si="36"/>
        <v>1.4066065313027565</v>
      </c>
      <c r="AT24" s="639">
        <f t="shared" si="37"/>
        <v>2.3677979479084232</v>
      </c>
      <c r="AU24" s="548">
        <f t="shared" si="38"/>
        <v>9.7828835774865119</v>
      </c>
      <c r="AV24" s="548">
        <f t="shared" si="39"/>
        <v>3.4584980237154062</v>
      </c>
      <c r="AW24" s="548" t="e">
        <f>#REF!</f>
        <v>#REF!</v>
      </c>
      <c r="AX24" s="548" t="e">
        <f>#REF!</f>
        <v>#REF!</v>
      </c>
      <c r="AY24" s="548" t="e">
        <f>#REF!</f>
        <v>#REF!</v>
      </c>
      <c r="AZ24" s="548" t="e">
        <f t="shared" si="40"/>
        <v>#N/A</v>
      </c>
      <c r="BA24" s="568">
        <v>5.5198551256463224</v>
      </c>
      <c r="BB24" s="568">
        <v>4.6842120002285048</v>
      </c>
      <c r="BC24" s="568">
        <v>4.9634561506563868</v>
      </c>
      <c r="BD24" s="568">
        <v>5.6157852866902225</v>
      </c>
      <c r="BE24" s="568"/>
      <c r="BF24" s="568">
        <v>-0.7121020571191683</v>
      </c>
      <c r="BG24" s="568">
        <v>3.7938437880526976</v>
      </c>
      <c r="BH24" s="568">
        <v>1.413760603204528</v>
      </c>
      <c r="BI24" s="568">
        <v>0.75117370892019419</v>
      </c>
      <c r="BJ24" s="568"/>
      <c r="BK24" s="568">
        <v>10.76190476190475</v>
      </c>
      <c r="BL24" s="568">
        <v>6.2328139321723208</v>
      </c>
      <c r="BM24" s="568">
        <v>10.68773234200744</v>
      </c>
      <c r="BN24" s="568">
        <v>12.395153774464118</v>
      </c>
      <c r="BO24" s="568"/>
      <c r="BP24" s="568">
        <v>6.9647463456578018</v>
      </c>
      <c r="BQ24" s="568">
        <v>8.5418464193270047</v>
      </c>
      <c r="BR24" s="568">
        <v>6.1293031066330661</v>
      </c>
      <c r="BS24" s="568">
        <v>5.0580431177446039</v>
      </c>
      <c r="BT24" s="568"/>
      <c r="BU24" s="552">
        <v>1.7684887459806786</v>
      </c>
      <c r="BV24" s="552">
        <v>0.79491255961843255</v>
      </c>
      <c r="BW24" s="552">
        <v>2.2151898734177111</v>
      </c>
      <c r="BX24" s="552">
        <v>2.3677979479084232</v>
      </c>
      <c r="BY24" s="552"/>
      <c r="BZ24" s="552">
        <v>5.8451816745655583</v>
      </c>
      <c r="CA24" s="552">
        <v>5.835962145110396</v>
      </c>
      <c r="CB24" s="552">
        <v>6.8885448916408798</v>
      </c>
      <c r="CC24" s="552">
        <v>9.7828835774865119</v>
      </c>
      <c r="CD24" s="552"/>
      <c r="CE24" s="552">
        <v>8.4649999999999892</v>
      </c>
      <c r="CF24" s="552">
        <v>8.0936661698956858</v>
      </c>
      <c r="CG24" s="552">
        <v>7.791889934829821</v>
      </c>
      <c r="CH24" s="552">
        <v>3.4584980237154062</v>
      </c>
      <c r="CI24" s="552">
        <f t="shared" si="52"/>
        <v>7.2604929551284982</v>
      </c>
      <c r="CJ24" s="552">
        <v>3.4916747539165414</v>
      </c>
      <c r="CK24" s="552">
        <v>-5.5488579101908755</v>
      </c>
      <c r="CL24" s="552">
        <v>2.6238932251366975</v>
      </c>
      <c r="CM24" s="552">
        <v>-0.22642718744127421</v>
      </c>
      <c r="CN24" s="552" t="e">
        <v>#N/A</v>
      </c>
      <c r="CO24" s="552" t="e">
        <v>#N/A</v>
      </c>
      <c r="CP24" s="552" t="e">
        <v>#N/A</v>
      </c>
      <c r="CQ24" s="552" t="e">
        <v>#N/A</v>
      </c>
      <c r="CR24" s="552"/>
      <c r="CS24" s="552">
        <v>10.681378682743727</v>
      </c>
      <c r="CT24" s="552">
        <v>9.4245292253017681</v>
      </c>
      <c r="CU24" s="552">
        <v>9.6901760004812161</v>
      </c>
      <c r="CV24" s="552">
        <v>7.2604929551284982</v>
      </c>
      <c r="CW24" s="552">
        <v>0.8233671868436403</v>
      </c>
      <c r="CX24" s="552" t="e">
        <f t="shared" si="41"/>
        <v>#DIV/0!</v>
      </c>
      <c r="CY24" s="552" t="e">
        <f t="shared" si="42"/>
        <v>#DIV/0!</v>
      </c>
      <c r="CZ24" s="552" t="e">
        <f t="shared" si="43"/>
        <v>#DIV/0!</v>
      </c>
      <c r="DA24" s="552" t="e">
        <f t="shared" si="44"/>
        <v>#DIV/0!</v>
      </c>
      <c r="DB24" s="552">
        <v>-1.068859198355554</v>
      </c>
      <c r="DC24" s="552">
        <v>2.4083121172504605</v>
      </c>
      <c r="DD24" s="552">
        <v>2.8127258396162063</v>
      </c>
      <c r="DE24" s="552">
        <v>3.4916747539165414</v>
      </c>
      <c r="DF24" s="552"/>
      <c r="DG24" s="552">
        <v>-2.5862400443243985</v>
      </c>
      <c r="DH24" s="552">
        <v>-5.3928045420950355</v>
      </c>
      <c r="DI24" s="552">
        <v>-5.0771051636323392</v>
      </c>
      <c r="DJ24" s="552">
        <v>-5.5488579101908755</v>
      </c>
      <c r="DK24" s="552"/>
      <c r="DL24" s="552">
        <v>1.7172160218565722</v>
      </c>
      <c r="DM24" s="552">
        <v>2.8838970230730325</v>
      </c>
      <c r="DN24" s="552">
        <v>2.0732299049965661</v>
      </c>
      <c r="DO24" s="552">
        <v>2.6238932251366975</v>
      </c>
      <c r="DP24" s="552"/>
      <c r="DQ24" s="552">
        <v>1.3232347042051629</v>
      </c>
      <c r="DR24" s="552">
        <v>0.15725140325582743</v>
      </c>
      <c r="DS24" s="552">
        <v>-0.11853452622317207</v>
      </c>
      <c r="DT24" s="552">
        <v>-0.22642718744127421</v>
      </c>
      <c r="DU24" s="552">
        <v>0.32272848825985534</v>
      </c>
      <c r="DV24" s="552">
        <v>0.32272848825985534</v>
      </c>
      <c r="DW24" s="552">
        <f t="shared" si="53"/>
        <v>-100</v>
      </c>
      <c r="DX24" s="552">
        <f t="shared" si="54"/>
        <v>-100</v>
      </c>
      <c r="DY24" s="552">
        <f t="shared" si="55"/>
        <v>-100</v>
      </c>
      <c r="DZ24" s="552"/>
      <c r="EA24" s="552">
        <f t="shared" si="56"/>
        <v>-100</v>
      </c>
      <c r="EB24" s="552" t="e">
        <f t="shared" si="45"/>
        <v>#DIV/0!</v>
      </c>
      <c r="EC24" s="552" t="e">
        <f t="shared" si="46"/>
        <v>#DIV/0!</v>
      </c>
      <c r="ED24" s="552" t="e">
        <f t="shared" si="47"/>
        <v>#DIV/0!</v>
      </c>
      <c r="EE24" s="552"/>
      <c r="EF24" s="552"/>
      <c r="EG24" s="552" t="e">
        <f t="shared" si="48"/>
        <v>#DIV/0!</v>
      </c>
      <c r="EH24" s="552" t="e">
        <f t="shared" si="57"/>
        <v>#DIV/0!</v>
      </c>
      <c r="EI24" s="552" t="e">
        <f t="shared" si="49"/>
        <v>#DIV/0!</v>
      </c>
      <c r="EJ24" s="552" t="e">
        <f t="shared" si="58"/>
        <v>#DIV/0!</v>
      </c>
      <c r="EK24" s="552"/>
      <c r="EL24" s="552" t="e">
        <f t="shared" si="50"/>
        <v>#DIV/0!</v>
      </c>
      <c r="EM24" s="552" t="e">
        <f t="shared" si="50"/>
        <v>#DIV/0!</v>
      </c>
      <c r="EN24" s="552" t="e">
        <f t="shared" si="50"/>
        <v>#DIV/0!</v>
      </c>
      <c r="EO24" s="552" t="e">
        <f t="shared" si="50"/>
        <v>#DIV/0!</v>
      </c>
      <c r="EP24" s="552"/>
      <c r="EQ24" s="552" t="e">
        <f t="shared" si="50"/>
        <v>#DIV/0!</v>
      </c>
      <c r="ER24" s="552" t="e">
        <f t="shared" si="50"/>
        <v>#DIV/0!</v>
      </c>
      <c r="ES24" s="552" t="e">
        <f t="shared" si="50"/>
        <v>#DIV/0!</v>
      </c>
      <c r="ET24" s="552" t="e">
        <f t="shared" si="50"/>
        <v>#DIV/0!</v>
      </c>
      <c r="EU24" s="552"/>
      <c r="EV24" s="552" t="e">
        <f t="shared" si="60"/>
        <v>#DIV/0!</v>
      </c>
      <c r="EW24" s="552" t="e">
        <f t="shared" si="59"/>
        <v>#DIV/0!</v>
      </c>
      <c r="EX24" s="563" t="e">
        <f t="shared" si="51"/>
        <v>#DIV/0!</v>
      </c>
    </row>
    <row r="25" spans="1:154" ht="13.5" customHeight="1" x14ac:dyDescent="0.2">
      <c r="A25" s="546" t="s">
        <v>144</v>
      </c>
      <c r="B25" s="552"/>
      <c r="C25" s="552">
        <f t="shared" si="21"/>
        <v>11.275133236980173</v>
      </c>
      <c r="D25" s="552">
        <f t="shared" si="22"/>
        <v>-1.5354302599002168E-2</v>
      </c>
      <c r="E25" s="552">
        <f t="shared" si="23"/>
        <v>11.204942398657858</v>
      </c>
      <c r="F25" s="552">
        <f t="shared" si="24"/>
        <v>-30.954384859506078</v>
      </c>
      <c r="G25" s="552">
        <f t="shared" si="25"/>
        <v>2.1660422336809093</v>
      </c>
      <c r="H25" s="552">
        <f t="shared" si="26"/>
        <v>-0.12003870692075536</v>
      </c>
      <c r="I25" s="552">
        <f t="shared" si="27"/>
        <v>9.2020157104404134</v>
      </c>
      <c r="J25" s="552">
        <f t="shared" si="28"/>
        <v>4.5698924731182977</v>
      </c>
      <c r="K25" s="552">
        <f t="shared" si="29"/>
        <v>-1.28534704370179</v>
      </c>
      <c r="L25" s="552">
        <f t="shared" si="30"/>
        <v>9.375</v>
      </c>
      <c r="M25" s="574"/>
      <c r="N25" s="574"/>
      <c r="O25" s="574"/>
      <c r="P25" s="574"/>
      <c r="Q25" s="574"/>
      <c r="R25" s="614">
        <f t="shared" si="31"/>
        <v>18.10188295838142</v>
      </c>
      <c r="S25" s="615">
        <f t="shared" si="31"/>
        <v>11.660774179112554</v>
      </c>
      <c r="T25" s="615">
        <f t="shared" si="31"/>
        <v>11.275133236980173</v>
      </c>
      <c r="U25" s="574"/>
      <c r="V25" s="552">
        <f t="shared" si="32"/>
        <v>21.068641088868524</v>
      </c>
      <c r="W25" s="552">
        <f t="shared" si="32"/>
        <v>13.143760657710168</v>
      </c>
      <c r="X25" s="552">
        <f t="shared" si="32"/>
        <v>12.537132622915648</v>
      </c>
      <c r="Y25" s="552">
        <f t="shared" si="32"/>
        <v>-1.5354302599002168E-2</v>
      </c>
      <c r="Z25" s="552"/>
      <c r="AA25" s="552">
        <f t="shared" si="33"/>
        <v>-3.8554701780838863</v>
      </c>
      <c r="AB25" s="552">
        <f t="shared" si="33"/>
        <v>-8.9667256895431091</v>
      </c>
      <c r="AC25" s="552">
        <f t="shared" si="33"/>
        <v>0.89526591956095025</v>
      </c>
      <c r="AD25" s="552">
        <f t="shared" si="33"/>
        <v>11.204942398657858</v>
      </c>
      <c r="AE25" s="552"/>
      <c r="AF25" s="552">
        <f t="shared" si="34"/>
        <v>-29.353993824665469</v>
      </c>
      <c r="AG25" s="552">
        <f t="shared" si="34"/>
        <v>-16.749234011190538</v>
      </c>
      <c r="AH25" s="552">
        <f t="shared" si="34"/>
        <v>-26.519421546575117</v>
      </c>
      <c r="AI25" s="552">
        <f t="shared" si="34"/>
        <v>-30.954384859506078</v>
      </c>
      <c r="AJ25" s="552"/>
      <c r="AK25" s="552">
        <f t="shared" si="35"/>
        <v>6.0558829803288194</v>
      </c>
      <c r="AL25" s="552">
        <f t="shared" si="35"/>
        <v>-1.4654673323286849</v>
      </c>
      <c r="AM25" s="552">
        <f t="shared" si="35"/>
        <v>-6.4780221892889571</v>
      </c>
      <c r="AN25" s="552">
        <f t="shared" si="35"/>
        <v>2.1660422336809093</v>
      </c>
      <c r="AO25" s="552"/>
      <c r="AP25" s="552">
        <f t="shared" si="36"/>
        <v>4.7294721483661428</v>
      </c>
      <c r="AQ25" s="552">
        <f t="shared" si="36"/>
        <v>2.6214315610087136</v>
      </c>
      <c r="AR25" s="552">
        <f t="shared" si="36"/>
        <v>5.400971950053024</v>
      </c>
      <c r="AS25" s="552">
        <f t="shared" si="36"/>
        <v>-0.12003870692075536</v>
      </c>
      <c r="AT25" s="639">
        <f t="shared" si="37"/>
        <v>6.507936507936507</v>
      </c>
      <c r="AU25" s="548">
        <f t="shared" si="38"/>
        <v>13.536512667660205</v>
      </c>
      <c r="AV25" s="548">
        <f t="shared" si="39"/>
        <v>0.65237651444547406</v>
      </c>
      <c r="AW25" s="548" t="e">
        <f>#REF!</f>
        <v>#REF!</v>
      </c>
      <c r="AX25" s="548" t="e">
        <f>#REF!</f>
        <v>#REF!</v>
      </c>
      <c r="AY25" s="548" t="e">
        <f>#REF!</f>
        <v>#REF!</v>
      </c>
      <c r="AZ25" s="548" t="e">
        <f t="shared" si="40"/>
        <v>#N/A</v>
      </c>
      <c r="BA25" s="552">
        <v>0.44469151005694929</v>
      </c>
      <c r="BB25" s="552">
        <v>2.2346941819361366</v>
      </c>
      <c r="BC25" s="552">
        <v>5.8333972543964663</v>
      </c>
      <c r="BD25" s="552">
        <v>9.2020157104404134</v>
      </c>
      <c r="BE25" s="552"/>
      <c r="BF25" s="552">
        <v>8.2223691574302435</v>
      </c>
      <c r="BG25" s="552">
        <v>7.5700800741385299</v>
      </c>
      <c r="BH25" s="552">
        <v>6.6543438077633965</v>
      </c>
      <c r="BI25" s="552">
        <v>4.5698924731182977</v>
      </c>
      <c r="BJ25" s="552"/>
      <c r="BK25" s="552">
        <v>6.7885117493472702</v>
      </c>
      <c r="BL25" s="552">
        <v>5.4640069384215062</v>
      </c>
      <c r="BM25" s="552">
        <v>2.512998266897748</v>
      </c>
      <c r="BN25" s="552">
        <v>-1.28534704370179</v>
      </c>
      <c r="BO25" s="552"/>
      <c r="BP25" s="552">
        <v>-3.9119804400978064</v>
      </c>
      <c r="BQ25" s="552">
        <v>0.16447368421050879</v>
      </c>
      <c r="BR25" s="552">
        <v>6.4243448858833485</v>
      </c>
      <c r="BS25" s="552">
        <v>9.375</v>
      </c>
      <c r="BT25" s="552"/>
      <c r="BU25" s="552">
        <v>7.2943172179813276</v>
      </c>
      <c r="BV25" s="552">
        <v>5.0082101806239843</v>
      </c>
      <c r="BW25" s="552">
        <v>4.3685464654487527</v>
      </c>
      <c r="BX25" s="552">
        <v>6.507936507936507</v>
      </c>
      <c r="BY25" s="552"/>
      <c r="BZ25" s="552">
        <v>8.7747035573122467</v>
      </c>
      <c r="CA25" s="552">
        <v>11.806098514464436</v>
      </c>
      <c r="CB25" s="552">
        <v>6.0121765601217625</v>
      </c>
      <c r="CC25" s="552">
        <v>13.536512667660205</v>
      </c>
      <c r="CD25" s="552"/>
      <c r="CE25" s="552">
        <v>7.5319767441860419</v>
      </c>
      <c r="CF25" s="552">
        <v>5.1594405594405757</v>
      </c>
      <c r="CG25" s="552">
        <v>11.316582914572869</v>
      </c>
      <c r="CH25" s="552">
        <v>0.65237651444547406</v>
      </c>
      <c r="CI25" s="552">
        <f t="shared" si="52"/>
        <v>7.3570587873155375</v>
      </c>
      <c r="CJ25" s="552">
        <v>4.2578542158385346</v>
      </c>
      <c r="CK25" s="552">
        <v>0.43057780803860624</v>
      </c>
      <c r="CL25" s="552">
        <v>0.99798607683712248</v>
      </c>
      <c r="CM25" s="552">
        <v>2.8480585838960479</v>
      </c>
      <c r="CN25" s="552" t="e">
        <v>#N/A</v>
      </c>
      <c r="CO25" s="552" t="e">
        <v>#N/A</v>
      </c>
      <c r="CP25" s="552" t="e">
        <v>#N/A</v>
      </c>
      <c r="CQ25" s="552" t="e">
        <v>#N/A</v>
      </c>
      <c r="CR25" s="552"/>
      <c r="CS25" s="552">
        <v>11.999711074629033</v>
      </c>
      <c r="CT25" s="552">
        <v>10.944436346734136</v>
      </c>
      <c r="CU25" s="552">
        <v>8.5993447946837449</v>
      </c>
      <c r="CV25" s="552">
        <v>7.3570587873155375</v>
      </c>
      <c r="CW25" s="552">
        <v>-1.2976832492526569E-2</v>
      </c>
      <c r="CX25" s="552" t="e">
        <f t="shared" si="41"/>
        <v>#DIV/0!</v>
      </c>
      <c r="CY25" s="552" t="e">
        <f t="shared" si="42"/>
        <v>#DIV/0!</v>
      </c>
      <c r="CZ25" s="552" t="e">
        <f t="shared" si="43"/>
        <v>#DIV/0!</v>
      </c>
      <c r="DA25" s="552" t="e">
        <f t="shared" si="44"/>
        <v>#DIV/0!</v>
      </c>
      <c r="DB25" s="552">
        <v>4.3477424039059827</v>
      </c>
      <c r="DC25" s="552">
        <v>1.8457018413402295</v>
      </c>
      <c r="DD25" s="552">
        <v>4.0549842833819838</v>
      </c>
      <c r="DE25" s="552">
        <v>4.2578542158385346</v>
      </c>
      <c r="DF25" s="552"/>
      <c r="DG25" s="552">
        <v>-1.7086386938054119</v>
      </c>
      <c r="DH25" s="552">
        <v>-9.2410697416767107E-2</v>
      </c>
      <c r="DI25" s="552">
        <v>0.64142084496975826</v>
      </c>
      <c r="DJ25" s="552">
        <v>0.43057780803860624</v>
      </c>
      <c r="DK25" s="552"/>
      <c r="DL25" s="552">
        <v>6.7419097832462</v>
      </c>
      <c r="DM25" s="552">
        <v>2.7258770553362268</v>
      </c>
      <c r="DN25" s="552">
        <v>2.2345232931703976</v>
      </c>
      <c r="DO25" s="552">
        <v>0.99798607683712248</v>
      </c>
      <c r="DP25" s="552"/>
      <c r="DQ25" s="552">
        <v>-2.5773900467456201E-2</v>
      </c>
      <c r="DR25" s="552">
        <v>5.2633483666905079</v>
      </c>
      <c r="DS25" s="552">
        <v>-1.1203822896836471</v>
      </c>
      <c r="DT25" s="552">
        <v>2.8480585838960479</v>
      </c>
      <c r="DU25" s="552">
        <v>-0.99498824553297993</v>
      </c>
      <c r="DV25" s="552">
        <v>-0.99498824553297993</v>
      </c>
      <c r="DW25" s="552">
        <f t="shared" si="53"/>
        <v>-100</v>
      </c>
      <c r="DX25" s="552">
        <f t="shared" si="54"/>
        <v>-100</v>
      </c>
      <c r="DY25" s="552">
        <f t="shared" si="55"/>
        <v>-100</v>
      </c>
      <c r="DZ25" s="552"/>
      <c r="EA25" s="552">
        <f t="shared" si="56"/>
        <v>-100</v>
      </c>
      <c r="EB25" s="552" t="e">
        <f t="shared" si="45"/>
        <v>#DIV/0!</v>
      </c>
      <c r="EC25" s="552" t="e">
        <f t="shared" si="46"/>
        <v>#DIV/0!</v>
      </c>
      <c r="ED25" s="552" t="e">
        <f t="shared" si="47"/>
        <v>#DIV/0!</v>
      </c>
      <c r="EE25" s="552"/>
      <c r="EF25" s="552"/>
      <c r="EG25" s="552" t="e">
        <f t="shared" si="48"/>
        <v>#DIV/0!</v>
      </c>
      <c r="EH25" s="552">
        <v>6.6</v>
      </c>
      <c r="EI25" s="552" t="e">
        <f t="shared" si="49"/>
        <v>#DIV/0!</v>
      </c>
      <c r="EJ25" s="552" t="e">
        <f t="shared" si="58"/>
        <v>#DIV/0!</v>
      </c>
      <c r="EK25" s="552"/>
      <c r="EL25" s="552" t="e">
        <f t="shared" si="50"/>
        <v>#DIV/0!</v>
      </c>
      <c r="EM25" s="552" t="e">
        <f t="shared" si="50"/>
        <v>#DIV/0!</v>
      </c>
      <c r="EN25" s="552" t="e">
        <f t="shared" si="50"/>
        <v>#DIV/0!</v>
      </c>
      <c r="EO25" s="552" t="e">
        <f t="shared" si="50"/>
        <v>#DIV/0!</v>
      </c>
      <c r="EP25" s="552"/>
      <c r="EQ25" s="552" t="e">
        <f t="shared" si="50"/>
        <v>#DIV/0!</v>
      </c>
      <c r="ER25" s="552" t="e">
        <f t="shared" si="50"/>
        <v>#DIV/0!</v>
      </c>
      <c r="ES25" s="552">
        <v>2.6</v>
      </c>
      <c r="ET25" s="552" t="e">
        <f t="shared" si="50"/>
        <v>#DIV/0!</v>
      </c>
      <c r="EU25" s="552"/>
      <c r="EV25" s="552" t="e">
        <f t="shared" si="60"/>
        <v>#DIV/0!</v>
      </c>
      <c r="EW25" s="552" t="e">
        <f t="shared" si="59"/>
        <v>#DIV/0!</v>
      </c>
      <c r="EX25" s="563" t="e">
        <f t="shared" si="51"/>
        <v>#DIV/0!</v>
      </c>
    </row>
    <row r="26" spans="1:154" ht="13.5" customHeight="1" x14ac:dyDescent="0.2">
      <c r="A26" s="546" t="s">
        <v>145</v>
      </c>
      <c r="B26" s="552"/>
      <c r="C26" s="552">
        <f t="shared" si="21"/>
        <v>3.5534562790390023</v>
      </c>
      <c r="D26" s="552">
        <f t="shared" si="22"/>
        <v>3.7228312403071895</v>
      </c>
      <c r="E26" s="552">
        <f t="shared" si="23"/>
        <v>1.6092133374834061</v>
      </c>
      <c r="F26" s="552">
        <f t="shared" si="24"/>
        <v>-37.771368762612411</v>
      </c>
      <c r="G26" s="552">
        <f t="shared" si="25"/>
        <v>5.6205774725121893</v>
      </c>
      <c r="H26" s="552">
        <f t="shared" si="26"/>
        <v>1.4654792561984209</v>
      </c>
      <c r="I26" s="552">
        <f t="shared" si="27"/>
        <v>-2.0934819581930331</v>
      </c>
      <c r="J26" s="552">
        <f t="shared" si="28"/>
        <v>1.4084507042253502</v>
      </c>
      <c r="K26" s="552">
        <f t="shared" si="29"/>
        <v>13.690476190476186</v>
      </c>
      <c r="L26" s="552">
        <f t="shared" si="30"/>
        <v>5.2356020942408099</v>
      </c>
      <c r="M26" s="574"/>
      <c r="N26" s="574"/>
      <c r="O26" s="574"/>
      <c r="P26" s="574"/>
      <c r="Q26" s="574"/>
      <c r="R26" s="614">
        <f t="shared" si="31"/>
        <v>5.7992591766250712</v>
      </c>
      <c r="S26" s="615">
        <f t="shared" si="31"/>
        <v>3.4921021168655253</v>
      </c>
      <c r="T26" s="615">
        <f t="shared" si="31"/>
        <v>3.5534562790390023</v>
      </c>
      <c r="U26" s="574"/>
      <c r="V26" s="552">
        <f t="shared" si="32"/>
        <v>1.89758317059463</v>
      </c>
      <c r="W26" s="552">
        <f t="shared" si="32"/>
        <v>3.7261947529161121</v>
      </c>
      <c r="X26" s="552">
        <f t="shared" si="32"/>
        <v>2.9394325201689275</v>
      </c>
      <c r="Y26" s="552">
        <f t="shared" si="32"/>
        <v>3.7228312403071895</v>
      </c>
      <c r="Z26" s="552"/>
      <c r="AA26" s="552">
        <f t="shared" si="33"/>
        <v>5.8154763738519133</v>
      </c>
      <c r="AB26" s="552">
        <f t="shared" si="33"/>
        <v>4.0914964297743772</v>
      </c>
      <c r="AC26" s="552">
        <f t="shared" si="33"/>
        <v>3.2238197022488757</v>
      </c>
      <c r="AD26" s="552">
        <f t="shared" si="33"/>
        <v>1.6092133374834061</v>
      </c>
      <c r="AE26" s="552"/>
      <c r="AF26" s="552">
        <f t="shared" si="34"/>
        <v>-35.129391639369501</v>
      </c>
      <c r="AG26" s="552">
        <f t="shared" si="34"/>
        <v>-36.437472116469394</v>
      </c>
      <c r="AH26" s="552">
        <f t="shared" si="34"/>
        <v>-38.48084125713175</v>
      </c>
      <c r="AI26" s="552">
        <f t="shared" si="34"/>
        <v>-37.771368762612411</v>
      </c>
      <c r="AJ26" s="552"/>
      <c r="AK26" s="552">
        <f t="shared" si="35"/>
        <v>-2.3761908461411796</v>
      </c>
      <c r="AL26" s="552">
        <f t="shared" si="35"/>
        <v>1.6149686170354505</v>
      </c>
      <c r="AM26" s="552">
        <f t="shared" si="35"/>
        <v>6.3739273656438833</v>
      </c>
      <c r="AN26" s="552">
        <f t="shared" si="35"/>
        <v>5.6205774725121893</v>
      </c>
      <c r="AO26" s="552"/>
      <c r="AP26" s="552">
        <f t="shared" si="36"/>
        <v>4.8422595876686625</v>
      </c>
      <c r="AQ26" s="552">
        <f t="shared" si="36"/>
        <v>4.1301933356079568</v>
      </c>
      <c r="AR26" s="552">
        <f t="shared" si="36"/>
        <v>2.5754809136558032</v>
      </c>
      <c r="AS26" s="552">
        <f t="shared" si="36"/>
        <v>1.4654792561984209</v>
      </c>
      <c r="AT26" s="639">
        <f t="shared" si="37"/>
        <v>14.5107794361526</v>
      </c>
      <c r="AU26" s="548">
        <f t="shared" si="38"/>
        <v>11.967559739319334</v>
      </c>
      <c r="AV26" s="548">
        <f t="shared" si="39"/>
        <v>17.857142857142861</v>
      </c>
      <c r="AW26" s="548" t="e">
        <f>#REF!</f>
        <v>#REF!</v>
      </c>
      <c r="AX26" s="548" t="e">
        <f>#REF!</f>
        <v>#REF!</v>
      </c>
      <c r="AY26" s="548" t="e">
        <f>#REF!</f>
        <v>#REF!</v>
      </c>
      <c r="AZ26" s="548" t="e">
        <f t="shared" si="40"/>
        <v>#N/A</v>
      </c>
      <c r="BA26" s="552">
        <v>2.1715355502947009</v>
      </c>
      <c r="BB26" s="552">
        <v>1.7543944701044145</v>
      </c>
      <c r="BC26" s="552">
        <v>0.32582929268947236</v>
      </c>
      <c r="BD26" s="552">
        <v>-2.0934819581930331</v>
      </c>
      <c r="BE26" s="552"/>
      <c r="BF26" s="552">
        <v>-1.6950045444317996</v>
      </c>
      <c r="BG26" s="552">
        <v>-0.69145518665999495</v>
      </c>
      <c r="BH26" s="552">
        <v>1.4705882352941346</v>
      </c>
      <c r="BI26" s="552">
        <v>1.4084507042253502</v>
      </c>
      <c r="BJ26" s="552"/>
      <c r="BK26" s="552">
        <v>1.6831683168316847</v>
      </c>
      <c r="BL26" s="552">
        <v>3.8197845249755114</v>
      </c>
      <c r="BM26" s="552">
        <v>5.7971014492753659</v>
      </c>
      <c r="BN26" s="552">
        <v>13.690476190476186</v>
      </c>
      <c r="BO26" s="552"/>
      <c r="BP26" s="552">
        <v>13.534566699123651</v>
      </c>
      <c r="BQ26" s="552">
        <v>11.509433962264159</v>
      </c>
      <c r="BR26" s="552">
        <v>7.488584474885851</v>
      </c>
      <c r="BS26" s="552">
        <v>5.2356020942408099</v>
      </c>
      <c r="BT26" s="552"/>
      <c r="BU26" s="552">
        <v>6.0891938250428934</v>
      </c>
      <c r="BV26" s="552">
        <v>7.9526226734348393</v>
      </c>
      <c r="BW26" s="552">
        <v>14.61342395921832</v>
      </c>
      <c r="BX26" s="552">
        <v>14.5107794361526</v>
      </c>
      <c r="BY26" s="552"/>
      <c r="BZ26" s="552">
        <v>11.96443007275667</v>
      </c>
      <c r="CA26" s="552">
        <v>9.7962382445141003</v>
      </c>
      <c r="CB26" s="552">
        <v>10.452186805040785</v>
      </c>
      <c r="CC26" s="552">
        <v>11.967559739319334</v>
      </c>
      <c r="CD26" s="552"/>
      <c r="CE26" s="552">
        <v>15.299205776173274</v>
      </c>
      <c r="CF26" s="552">
        <v>17.924197002141341</v>
      </c>
      <c r="CG26" s="552">
        <v>15.307382550335568</v>
      </c>
      <c r="CH26" s="552">
        <v>17.857142857142861</v>
      </c>
      <c r="CI26" s="552">
        <f t="shared" si="52"/>
        <v>5.9195298751435246</v>
      </c>
      <c r="CJ26" s="552">
        <v>-0.4945586590497868</v>
      </c>
      <c r="CK26" s="552">
        <v>7.9336225067810489</v>
      </c>
      <c r="CL26" s="552">
        <v>5.871545571752975</v>
      </c>
      <c r="CM26" s="552">
        <v>2.3012680034025834</v>
      </c>
      <c r="CN26" s="552" t="e">
        <v>#N/A</v>
      </c>
      <c r="CO26" s="552" t="e">
        <v>#N/A</v>
      </c>
      <c r="CP26" s="552" t="e">
        <v>#N/A</v>
      </c>
      <c r="CQ26" s="552" t="e">
        <v>#N/A</v>
      </c>
      <c r="CR26" s="552"/>
      <c r="CS26" s="552">
        <v>11.971122997400002</v>
      </c>
      <c r="CT26" s="552">
        <v>12.944518930495434</v>
      </c>
      <c r="CU26" s="552">
        <v>11.186471526404461</v>
      </c>
      <c r="CV26" s="552">
        <v>5.9195298751435246</v>
      </c>
      <c r="CW26" s="552">
        <v>1.423253284822195</v>
      </c>
      <c r="CX26" s="552" t="e">
        <f t="shared" si="41"/>
        <v>#DIV/0!</v>
      </c>
      <c r="CY26" s="552" t="e">
        <f t="shared" si="42"/>
        <v>#DIV/0!</v>
      </c>
      <c r="CZ26" s="552" t="e">
        <f t="shared" si="43"/>
        <v>#DIV/0!</v>
      </c>
      <c r="DA26" s="552" t="e">
        <f t="shared" si="44"/>
        <v>#DIV/0!</v>
      </c>
      <c r="DB26" s="552">
        <v>1.3161067266278366</v>
      </c>
      <c r="DC26" s="552">
        <v>0.86195740436889423</v>
      </c>
      <c r="DD26" s="552">
        <v>0.34993166600190762</v>
      </c>
      <c r="DE26" s="552">
        <v>-0.4945586590497868</v>
      </c>
      <c r="DF26" s="552"/>
      <c r="DG26" s="552">
        <v>4.837528434851194</v>
      </c>
      <c r="DH26" s="552">
        <v>4.1271269811623768</v>
      </c>
      <c r="DI26" s="552">
        <v>4.0473814369113228</v>
      </c>
      <c r="DJ26" s="552">
        <v>7.9336225067810489</v>
      </c>
      <c r="DK26" s="552"/>
      <c r="DL26" s="552">
        <v>8.1267352196656049</v>
      </c>
      <c r="DM26" s="552">
        <v>10.606806188217661</v>
      </c>
      <c r="DN26" s="552">
        <v>8.0161623658737682</v>
      </c>
      <c r="DO26" s="552">
        <v>5.871545571752975</v>
      </c>
      <c r="DP26" s="552"/>
      <c r="DQ26" s="552">
        <v>2.7847872518506449</v>
      </c>
      <c r="DR26" s="552">
        <v>0.25330665611602399</v>
      </c>
      <c r="DS26" s="552">
        <v>-0.56939021368717135</v>
      </c>
      <c r="DT26" s="552">
        <v>2.3012680034025834</v>
      </c>
      <c r="DU26" s="552">
        <v>2.1721402892955979</v>
      </c>
      <c r="DV26" s="552">
        <v>2.1721402892955979</v>
      </c>
      <c r="DW26" s="552">
        <f t="shared" si="53"/>
        <v>-100</v>
      </c>
      <c r="DX26" s="552">
        <f t="shared" si="54"/>
        <v>-100</v>
      </c>
      <c r="DY26" s="552">
        <f t="shared" si="55"/>
        <v>-100</v>
      </c>
      <c r="DZ26" s="552"/>
      <c r="EA26" s="552">
        <f t="shared" si="56"/>
        <v>-100</v>
      </c>
      <c r="EB26" s="552" t="e">
        <f t="shared" si="45"/>
        <v>#DIV/0!</v>
      </c>
      <c r="EC26" s="552" t="e">
        <f t="shared" si="46"/>
        <v>#DIV/0!</v>
      </c>
      <c r="ED26" s="552" t="e">
        <f t="shared" si="47"/>
        <v>#DIV/0!</v>
      </c>
      <c r="EE26" s="552"/>
      <c r="EF26" s="552"/>
      <c r="EG26" s="552" t="e">
        <f t="shared" si="48"/>
        <v>#DIV/0!</v>
      </c>
      <c r="EH26" s="552" t="e">
        <f>EH15/EB15*100-100</f>
        <v>#DIV/0!</v>
      </c>
      <c r="EI26" s="552" t="e">
        <f t="shared" si="49"/>
        <v>#DIV/0!</v>
      </c>
      <c r="EJ26" s="552" t="e">
        <f t="shared" si="58"/>
        <v>#DIV/0!</v>
      </c>
      <c r="EK26" s="552"/>
      <c r="EL26" s="552" t="e">
        <f t="shared" si="50"/>
        <v>#DIV/0!</v>
      </c>
      <c r="EM26" s="552" t="e">
        <f t="shared" si="50"/>
        <v>#DIV/0!</v>
      </c>
      <c r="EN26" s="552">
        <v>4.7</v>
      </c>
      <c r="EO26" s="552" t="e">
        <f t="shared" si="50"/>
        <v>#DIV/0!</v>
      </c>
      <c r="EP26" s="552"/>
      <c r="EQ26" s="552">
        <v>13.2</v>
      </c>
      <c r="ER26" s="552" t="e">
        <f t="shared" si="50"/>
        <v>#DIV/0!</v>
      </c>
      <c r="ES26" s="552" t="e">
        <f t="shared" si="50"/>
        <v>#DIV/0!</v>
      </c>
      <c r="ET26" s="552" t="e">
        <f t="shared" si="50"/>
        <v>#DIV/0!</v>
      </c>
      <c r="EU26" s="552"/>
      <c r="EV26" s="552">
        <v>6.5</v>
      </c>
      <c r="EW26" s="552" t="e">
        <f t="shared" si="59"/>
        <v>#DIV/0!</v>
      </c>
      <c r="EX26" s="563" t="e">
        <f t="shared" si="51"/>
        <v>#DIV/0!</v>
      </c>
    </row>
    <row r="27" spans="1:154" s="177" customFormat="1" ht="13.5" customHeight="1" x14ac:dyDescent="0.2">
      <c r="A27" s="553"/>
      <c r="B27" s="544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544"/>
      <c r="X27" s="544"/>
      <c r="Y27" s="544"/>
      <c r="Z27" s="544"/>
      <c r="AA27" s="544"/>
      <c r="AB27" s="544"/>
      <c r="AC27" s="544"/>
      <c r="AD27" s="544"/>
      <c r="AE27" s="544"/>
      <c r="AF27" s="544"/>
      <c r="AG27" s="544"/>
      <c r="AH27" s="544"/>
      <c r="AI27" s="544"/>
      <c r="AJ27" s="544"/>
      <c r="AK27" s="544"/>
      <c r="AL27" s="544"/>
      <c r="AM27" s="544"/>
      <c r="AN27" s="544"/>
      <c r="AO27" s="544"/>
      <c r="AP27" s="544"/>
      <c r="AQ27" s="544"/>
      <c r="AR27" s="544"/>
      <c r="AS27" s="544"/>
      <c r="AT27" s="553"/>
      <c r="AU27" s="837" t="s">
        <v>167</v>
      </c>
      <c r="AV27" s="837"/>
      <c r="AW27" s="837"/>
      <c r="AX27" s="837"/>
      <c r="AY27" s="837"/>
      <c r="AZ27" s="837"/>
      <c r="BA27" s="837"/>
      <c r="BB27" s="837"/>
      <c r="BC27" s="837"/>
      <c r="BD27" s="837"/>
      <c r="BE27" s="837"/>
      <c r="BF27" s="837"/>
      <c r="BG27" s="837"/>
      <c r="BH27" s="837"/>
      <c r="BI27" s="837"/>
      <c r="BJ27" s="837"/>
      <c r="BK27" s="837"/>
      <c r="BL27" s="837"/>
      <c r="BM27" s="837"/>
      <c r="BN27" s="837"/>
      <c r="BO27" s="837"/>
      <c r="BP27" s="837"/>
      <c r="BQ27" s="837"/>
      <c r="BR27" s="837"/>
      <c r="BS27" s="837"/>
      <c r="BT27" s="837"/>
      <c r="BU27" s="837"/>
      <c r="BV27" s="837"/>
      <c r="BW27" s="837"/>
      <c r="BX27" s="837"/>
      <c r="BY27" s="837"/>
      <c r="BZ27" s="837"/>
      <c r="CA27" s="837"/>
      <c r="CB27" s="837"/>
      <c r="CC27" s="837"/>
      <c r="CD27" s="837"/>
      <c r="CE27" s="837"/>
      <c r="CF27" s="837"/>
      <c r="CG27" s="837"/>
      <c r="CH27" s="837"/>
      <c r="CI27" s="837"/>
      <c r="CJ27" s="837"/>
      <c r="CK27" s="837"/>
      <c r="CL27" s="837"/>
      <c r="CM27" s="837"/>
      <c r="CN27" s="837"/>
      <c r="CO27" s="837"/>
      <c r="CP27" s="837"/>
      <c r="CQ27" s="837"/>
      <c r="CR27" s="837"/>
      <c r="CS27" s="837"/>
      <c r="CT27" s="837"/>
      <c r="CU27" s="837"/>
      <c r="CV27" s="837"/>
      <c r="CW27" s="837"/>
      <c r="CX27" s="837"/>
      <c r="CY27" s="837"/>
      <c r="CZ27" s="837"/>
      <c r="DA27" s="837"/>
      <c r="DB27" s="837"/>
      <c r="DC27" s="837"/>
      <c r="DD27" s="837"/>
      <c r="DE27" s="837"/>
      <c r="DF27" s="837"/>
      <c r="DG27" s="837"/>
      <c r="DH27" s="837"/>
      <c r="DI27" s="837"/>
      <c r="DJ27" s="647"/>
      <c r="DK27" s="647"/>
      <c r="DL27" s="647"/>
      <c r="DM27" s="647"/>
      <c r="DN27" s="647"/>
      <c r="DO27" s="647"/>
      <c r="DP27" s="647"/>
      <c r="DQ27" s="647"/>
      <c r="DR27" s="466"/>
      <c r="DS27" s="466"/>
      <c r="DT27" s="466"/>
      <c r="DU27" s="466"/>
      <c r="DV27" s="466"/>
      <c r="DW27" s="466"/>
      <c r="DX27" s="466"/>
      <c r="DY27" s="466"/>
      <c r="DZ27" s="466"/>
      <c r="EA27" s="466"/>
      <c r="EB27" s="466"/>
      <c r="EC27" s="466"/>
      <c r="ED27" s="466"/>
      <c r="EE27" s="466"/>
      <c r="EF27" s="466"/>
      <c r="EG27" s="466"/>
      <c r="EH27" s="466"/>
      <c r="EI27" s="466"/>
      <c r="EJ27" s="466"/>
      <c r="EK27" s="466"/>
      <c r="EL27" s="466"/>
      <c r="EM27" s="466"/>
      <c r="EN27" s="466"/>
      <c r="EO27" s="466"/>
      <c r="EP27" s="466"/>
      <c r="EQ27" s="466"/>
      <c r="ER27" s="466"/>
      <c r="ES27" s="466"/>
      <c r="ET27" s="466"/>
      <c r="EU27" s="466"/>
      <c r="EV27" s="569"/>
      <c r="EW27" s="569"/>
      <c r="EX27" s="570"/>
    </row>
    <row r="28" spans="1:154" s="177" customFormat="1" ht="13.5" customHeight="1" x14ac:dyDescent="0.2">
      <c r="A28" s="546" t="s">
        <v>94</v>
      </c>
      <c r="B28" s="552"/>
      <c r="C28" s="552"/>
      <c r="D28" s="552"/>
      <c r="E28" s="552"/>
      <c r="F28" s="552"/>
      <c r="G28" s="552"/>
      <c r="H28" s="552"/>
      <c r="I28" s="552"/>
      <c r="J28" s="552"/>
      <c r="K28" s="552"/>
      <c r="L28" s="552"/>
      <c r="M28" s="574"/>
      <c r="N28" s="574">
        <f t="shared" ref="N28:O36" si="61">(N6/M6-1)*100</f>
        <v>6.6146384890283239</v>
      </c>
      <c r="O28" s="574">
        <f t="shared" si="61"/>
        <v>3.2117819549382087</v>
      </c>
      <c r="P28" s="564"/>
      <c r="Q28" s="574">
        <f t="shared" ref="Q28:Q36" si="62">(Q6/O6-1)*100</f>
        <v>-0.27514308529237308</v>
      </c>
      <c r="R28" s="574">
        <f t="shared" ref="R28:T36" si="63">(R6/Q6-1)*100</f>
        <v>1.690192075300545</v>
      </c>
      <c r="S28" s="574">
        <f t="shared" si="63"/>
        <v>2.6241134851118897</v>
      </c>
      <c r="T28" s="574">
        <f t="shared" si="63"/>
        <v>3.1367791537420198</v>
      </c>
      <c r="U28" s="565"/>
      <c r="V28" s="574">
        <f t="shared" ref="V28:V36" si="64">(V6/T6-1)*100</f>
        <v>3.3087304740632595</v>
      </c>
      <c r="W28" s="574">
        <f t="shared" ref="W28:Y36" si="65">(W6/V6-1)*100</f>
        <v>-0.84775104472347707</v>
      </c>
      <c r="X28" s="574">
        <f t="shared" si="65"/>
        <v>1.972315423296056</v>
      </c>
      <c r="Y28" s="574">
        <f t="shared" si="65"/>
        <v>-2.5167232907272852</v>
      </c>
      <c r="Z28" s="568"/>
      <c r="AA28" s="574">
        <f t="shared" ref="AA28:AA36" si="66">(AA6/Y6-1)*100</f>
        <v>2.1777252206171438</v>
      </c>
      <c r="AB28" s="574">
        <f t="shared" ref="AB28:AD36" si="67">(AB6/AA6-1)*100</f>
        <v>-4.2027785294036839</v>
      </c>
      <c r="AC28" s="574">
        <f t="shared" si="67"/>
        <v>6.9060975733036711</v>
      </c>
      <c r="AD28" s="574">
        <f t="shared" si="67"/>
        <v>1.6732199278663762</v>
      </c>
      <c r="AE28" s="568"/>
      <c r="AF28" s="574">
        <f t="shared" ref="AF28:AF36" si="68">(AF6/AD6-1)*100</f>
        <v>-35.251145820329242</v>
      </c>
      <c r="AG28" s="574">
        <f t="shared" ref="AG28:AI36" si="69">(AG6/AF6-1)*100</f>
        <v>3.1433870005621367</v>
      </c>
      <c r="AH28" s="574">
        <f t="shared" si="69"/>
        <v>-1.1103994652062132</v>
      </c>
      <c r="AI28" s="574">
        <f t="shared" si="69"/>
        <v>-1.0917152395442109</v>
      </c>
      <c r="AJ28" s="568"/>
      <c r="AK28" s="574">
        <f t="shared" ref="AK28:AK36" si="70">(AK6/AI6-1)*100</f>
        <v>0.99737015873513357</v>
      </c>
      <c r="AL28" s="574">
        <f t="shared" ref="AL28:AN36" si="71">(AL6/AK6-1)*100</f>
        <v>1.1973545166242605</v>
      </c>
      <c r="AM28" s="574">
        <f t="shared" si="71"/>
        <v>-1.6481233391472672</v>
      </c>
      <c r="AN28" s="574">
        <f t="shared" si="71"/>
        <v>3.1289448413090781</v>
      </c>
      <c r="AO28" s="568"/>
      <c r="AP28" s="574">
        <f t="shared" ref="AP28:AP36" si="72">(AP6/AN6-1)*100</f>
        <v>1.799651053916862</v>
      </c>
      <c r="AQ28" s="574">
        <f t="shared" ref="AQ28:AS36" si="73">(AQ6/AP6-1)*100</f>
        <v>-0.12859024031498523</v>
      </c>
      <c r="AR28" s="574">
        <f t="shared" si="73"/>
        <v>-0.82949002681116379</v>
      </c>
      <c r="AS28" s="574">
        <f t="shared" si="73"/>
        <v>-9.4280530970636267E-2</v>
      </c>
      <c r="AT28" s="640"/>
      <c r="AU28" s="574"/>
      <c r="AV28" s="574"/>
      <c r="AW28" s="574"/>
      <c r="AX28" s="574"/>
      <c r="AY28" s="574"/>
      <c r="AZ28" s="574"/>
      <c r="BA28" s="572">
        <f t="shared" ref="BA28:BA36" si="74">(BA6/AS6-1)*100</f>
        <v>2.4350169850358983</v>
      </c>
      <c r="BB28" s="572">
        <f t="shared" ref="BB28:BD36" si="75">(BB6/BA6-1)*100</f>
        <v>0.4820987978084057</v>
      </c>
      <c r="BC28" s="572">
        <f t="shared" si="75"/>
        <v>8.0999355671163009E-2</v>
      </c>
      <c r="BD28" s="572">
        <f t="shared" si="75"/>
        <v>0</v>
      </c>
      <c r="BE28" s="572"/>
      <c r="BF28" s="572">
        <f t="shared" ref="BF28:BF36" si="76">(BF6/BD6-1)*100</f>
        <v>2.3832221163012202</v>
      </c>
      <c r="BG28" s="572">
        <f t="shared" ref="BG28:BI36" si="77">(BG6/BF6-1)*100</f>
        <v>0.74487895716945918</v>
      </c>
      <c r="BH28" s="572">
        <f t="shared" si="77"/>
        <v>0.73937153419594281</v>
      </c>
      <c r="BI28" s="572">
        <f t="shared" si="77"/>
        <v>-0.82568807339449268</v>
      </c>
      <c r="BJ28" s="572"/>
      <c r="BK28" s="572">
        <f t="shared" ref="BK28:BK36" si="78">(BK6/BI6-1)*100</f>
        <v>3.5152636447733698</v>
      </c>
      <c r="BL28" s="572">
        <f t="shared" ref="BL28:BN36" si="79">(BL6/BK6-1)*100</f>
        <v>0.98302055406613853</v>
      </c>
      <c r="BM28" s="572">
        <f t="shared" si="79"/>
        <v>0.44247787610618428</v>
      </c>
      <c r="BN28" s="572">
        <f t="shared" si="79"/>
        <v>1.2334801762114544</v>
      </c>
      <c r="BO28" s="572"/>
      <c r="BP28" s="572">
        <f t="shared" ref="BP28:BP36" si="80">(BP6/BN6-1)*100</f>
        <v>2.0017406440382857</v>
      </c>
      <c r="BQ28" s="572">
        <f t="shared" ref="BQ28:BS36" si="81">(BQ6/BP6-1)*100</f>
        <v>2.2184300341296925</v>
      </c>
      <c r="BR28" s="572">
        <f t="shared" si="81"/>
        <v>1.4190317195325708</v>
      </c>
      <c r="BS28" s="572">
        <f t="shared" si="81"/>
        <v>1.3168724279835287</v>
      </c>
      <c r="BT28" s="572"/>
      <c r="BU28" s="572">
        <f t="shared" ref="BU28:BU36" si="82">(BU6/BS6-1)*100</f>
        <v>1.5434606011372809</v>
      </c>
      <c r="BV28" s="572">
        <f t="shared" ref="BV28:BX36" si="83">(BV6/BU6-1)*100</f>
        <v>2.1600000000000064</v>
      </c>
      <c r="BW28" s="572">
        <f t="shared" si="83"/>
        <v>4.3852779953014842</v>
      </c>
      <c r="BX28" s="572">
        <f t="shared" si="83"/>
        <v>2.250562640660192</v>
      </c>
      <c r="BY28" s="572"/>
      <c r="BZ28" s="572">
        <f t="shared" ref="BZ28:BZ36" si="84">(BZ6/BX6-1)*100</f>
        <v>1.3206162876008731</v>
      </c>
      <c r="CA28" s="572">
        <f t="shared" ref="CA28:CC36" si="85">(CA6/BZ6-1)*100</f>
        <v>2.3895727733526329</v>
      </c>
      <c r="CB28" s="572">
        <f t="shared" si="85"/>
        <v>2.2630834512022524</v>
      </c>
      <c r="CC28" s="572">
        <f t="shared" si="85"/>
        <v>5.5643153526971023</v>
      </c>
      <c r="CD28" s="572"/>
      <c r="CE28" s="572">
        <f t="shared" ref="CE28:CE36" si="86">(CE6/CC6-1)*100</f>
        <v>1.0679611650485477</v>
      </c>
      <c r="CF28" s="572">
        <f t="shared" ref="CF28:CH36" si="87">(CF6/CE6-1)*100</f>
        <v>2.8818443804034644</v>
      </c>
      <c r="CG28" s="572">
        <f t="shared" si="87"/>
        <v>3.7348272642390379</v>
      </c>
      <c r="CH28" s="572">
        <f t="shared" si="87"/>
        <v>3.6003600360035914</v>
      </c>
      <c r="CI28" s="572"/>
      <c r="CJ28" s="572"/>
      <c r="CK28" s="572"/>
      <c r="CL28" s="572"/>
      <c r="CM28" s="572"/>
      <c r="CN28" s="619" t="e">
        <f>(CN6/#REF!-1)*100</f>
        <v>#REF!</v>
      </c>
      <c r="CO28" s="619">
        <v>1.6478475652787594</v>
      </c>
      <c r="CP28" s="619">
        <f t="shared" ref="CP28:CQ37" si="88">(CP6/CO6-1)*100</f>
        <v>4.4190648106362973</v>
      </c>
      <c r="CQ28" s="619">
        <f t="shared" si="88"/>
        <v>1.2632978723404298</v>
      </c>
      <c r="CR28" s="619"/>
      <c r="CS28" s="619">
        <f t="shared" ref="CS28:CS37" si="89">(CS6/CQ6-1)*100</f>
        <v>4.240636068244874</v>
      </c>
      <c r="CT28" s="619">
        <f t="shared" ref="CT28:CV37" si="90">(CT6/CS6-1)*100</f>
        <v>1.8525519848771488</v>
      </c>
      <c r="CU28" s="619">
        <f t="shared" si="90"/>
        <v>2.6292996782974587</v>
      </c>
      <c r="CV28" s="619">
        <f t="shared" si="90"/>
        <v>-2.3328711796973711</v>
      </c>
      <c r="CW28" s="619"/>
      <c r="CX28" s="619"/>
      <c r="CY28" s="619"/>
      <c r="CZ28" s="619"/>
      <c r="DA28" s="619"/>
      <c r="DB28" s="619">
        <f t="shared" ref="DB28:DB37" si="91">(DB6/CV6-1)*100</f>
        <v>0.2962597210220741</v>
      </c>
      <c r="DC28" s="619">
        <f t="shared" ref="DC28:DE37" si="92">(DC6/DB6-1)*100</f>
        <v>0.66707692307692579</v>
      </c>
      <c r="DD28" s="619">
        <f t="shared" si="92"/>
        <v>3.0339446400625691</v>
      </c>
      <c r="DE28" s="619">
        <f>(DE6/DD6-1)*100</f>
        <v>-2.793034381711601</v>
      </c>
      <c r="DF28" s="619"/>
      <c r="DG28" s="619">
        <f t="shared" ref="DG28:DG37" si="93">(DG6/DE6-1)*100</f>
        <v>1.6758470857123342</v>
      </c>
      <c r="DH28" s="619">
        <f t="shared" ref="DH28:DI37" si="94">(DH6/DG6-1)*100</f>
        <v>0.80975935612996874</v>
      </c>
      <c r="DI28" s="619">
        <f>(DI6/DH6-1)*100</f>
        <v>3.2335807373116809</v>
      </c>
      <c r="DJ28" s="619">
        <f>(DJ6/DI6-1)*100</f>
        <v>-0.74764144471439753</v>
      </c>
      <c r="DK28" s="619"/>
      <c r="DL28" s="619">
        <f t="shared" ref="DL28:DL37" si="95">(DL6/DJ6-1)*100</f>
        <v>4.0474958588136989</v>
      </c>
      <c r="DM28" s="619">
        <f t="shared" ref="DM28:DO37" si="96">(DM6/DL6-1)*100</f>
        <v>0.50672852484379138</v>
      </c>
      <c r="DN28" s="619">
        <f>(DN6/DM6-1)*100</f>
        <v>1.6946133422635512</v>
      </c>
      <c r="DO28" s="619">
        <f>(DO6/DN6-1)*100</f>
        <v>-2.3651208250863864</v>
      </c>
      <c r="DP28" s="619"/>
      <c r="DQ28" s="619">
        <f t="shared" ref="DQ28:DQ37" si="97">(DQ6/DO6-1)*100</f>
        <v>1.8119122812967126</v>
      </c>
      <c r="DR28" s="619">
        <f>(DR6/DQ6-1)*100</f>
        <v>1.1807681095854061</v>
      </c>
      <c r="DS28" s="619">
        <f>(DS6/DR6-1)*100</f>
        <v>-1.3666387050345064</v>
      </c>
      <c r="DT28" s="619">
        <f>(DT6/DS6-1)*100</f>
        <v>0.9031386433010713</v>
      </c>
      <c r="DU28" s="619">
        <f t="shared" ref="DU28:DU37" si="98">(DU6/DS6-1)*100</f>
        <v>0.99628815689161154</v>
      </c>
      <c r="DV28" s="619">
        <f t="shared" ref="DV28:DV36" si="99">(DV6/DT6-1)*100</f>
        <v>9.2315774160223185E-2</v>
      </c>
      <c r="DW28" s="619">
        <f>DW6/DV6*100-100</f>
        <v>-100</v>
      </c>
      <c r="DX28" s="619" t="e">
        <f>DX6/DW6*100-100</f>
        <v>#DIV/0!</v>
      </c>
      <c r="DY28" s="619" t="e">
        <f>DY6/DX6*100-100</f>
        <v>#DIV/0!</v>
      </c>
      <c r="DZ28" s="619"/>
      <c r="EA28" s="619" t="e">
        <f t="shared" ref="EA28:EA37" si="100">EA6/DY6*100-100</f>
        <v>#DIV/0!</v>
      </c>
      <c r="EB28" s="619" t="e">
        <f>EB6/EA6*100-100</f>
        <v>#DIV/0!</v>
      </c>
      <c r="EC28" s="619" t="e">
        <f>EC6/EB6*100-100</f>
        <v>#DIV/0!</v>
      </c>
      <c r="ED28" s="619" t="e">
        <f>ED6/EC6*100-100</f>
        <v>#DIV/0!</v>
      </c>
      <c r="EE28" s="619"/>
      <c r="EF28" s="619"/>
      <c r="EG28" s="619" t="e">
        <f t="shared" ref="EG28:EG37" si="101">EG6/ED6*100-100</f>
        <v>#DIV/0!</v>
      </c>
      <c r="EH28" s="619" t="e">
        <f>EH6/EG6*100-100</f>
        <v>#DIV/0!</v>
      </c>
      <c r="EI28" s="619" t="e">
        <f>EI6/EH6*100-100</f>
        <v>#DIV/0!</v>
      </c>
      <c r="EJ28" s="619" t="e">
        <f>EJ6/EI6*100-100</f>
        <v>#DIV/0!</v>
      </c>
      <c r="EK28" s="619"/>
      <c r="EL28" s="619" t="e">
        <f t="shared" ref="EL28:EL37" si="102">EL6/EJ6*100-100</f>
        <v>#DIV/0!</v>
      </c>
      <c r="EM28" s="619" t="e">
        <f>EM6/EL6*100-100</f>
        <v>#DIV/0!</v>
      </c>
      <c r="EN28" s="619" t="e">
        <f>EN6/EM6*100-100</f>
        <v>#DIV/0!</v>
      </c>
      <c r="EO28" s="619" t="e">
        <f>EO6/EN6*100-100</f>
        <v>#DIV/0!</v>
      </c>
      <c r="EP28" s="619"/>
      <c r="EQ28" s="619" t="e">
        <f t="shared" ref="EQ28:EQ37" si="103">EQ6/EO6*100-100</f>
        <v>#DIV/0!</v>
      </c>
      <c r="ER28" s="619" t="e">
        <f t="shared" ref="ER28:ET37" si="104">ER6/EQ6*100-100</f>
        <v>#DIV/0!</v>
      </c>
      <c r="ES28" s="619" t="e">
        <f t="shared" si="104"/>
        <v>#DIV/0!</v>
      </c>
      <c r="ET28" s="619" t="e">
        <f t="shared" si="104"/>
        <v>#DIV/0!</v>
      </c>
      <c r="EU28" s="619"/>
      <c r="EV28" s="619" t="e">
        <f t="shared" ref="EV28:EV37" si="105">EV6/ET6*100-100</f>
        <v>#DIV/0!</v>
      </c>
      <c r="EW28" s="619" t="e">
        <f t="shared" ref="EW28:EX37" si="106">EW6/EV6*100-100</f>
        <v>#DIV/0!</v>
      </c>
      <c r="EX28" s="674" t="e">
        <f t="shared" si="106"/>
        <v>#DIV/0!</v>
      </c>
    </row>
    <row r="29" spans="1:154" s="177" customFormat="1" ht="13.5" customHeight="1" x14ac:dyDescent="0.2">
      <c r="A29" s="551" t="s">
        <v>126</v>
      </c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74"/>
      <c r="N29" s="574">
        <f t="shared" si="61"/>
        <v>3.0651317012531543</v>
      </c>
      <c r="O29" s="574">
        <f t="shared" si="61"/>
        <v>3.1591302581518654</v>
      </c>
      <c r="P29" s="564"/>
      <c r="Q29" s="574">
        <f t="shared" si="62"/>
        <v>-1.6878787564436171</v>
      </c>
      <c r="R29" s="574">
        <f t="shared" si="63"/>
        <v>0.51684509631158004</v>
      </c>
      <c r="S29" s="574">
        <f t="shared" si="63"/>
        <v>3.4749970388389562</v>
      </c>
      <c r="T29" s="574">
        <f t="shared" si="63"/>
        <v>6.1557516610864393</v>
      </c>
      <c r="U29" s="565"/>
      <c r="V29" s="574">
        <f t="shared" si="64"/>
        <v>5.3948003256983679</v>
      </c>
      <c r="W29" s="574">
        <f t="shared" si="65"/>
        <v>-1.9966296500992575</v>
      </c>
      <c r="X29" s="574">
        <f t="shared" si="65"/>
        <v>3.2195752780823428</v>
      </c>
      <c r="Y29" s="574">
        <f t="shared" si="65"/>
        <v>-6.1695513556995767</v>
      </c>
      <c r="Z29" s="568"/>
      <c r="AA29" s="574">
        <f t="shared" si="66"/>
        <v>1.8252120610023903</v>
      </c>
      <c r="AB29" s="574">
        <f t="shared" si="67"/>
        <v>-8.1074856893853955</v>
      </c>
      <c r="AC29" s="574">
        <f t="shared" si="67"/>
        <v>8.8954572520500328</v>
      </c>
      <c r="AD29" s="574">
        <f t="shared" si="67"/>
        <v>2.2490085200147059</v>
      </c>
      <c r="AE29" s="568"/>
      <c r="AF29" s="574">
        <f t="shared" si="68"/>
        <v>-44.063082048679014</v>
      </c>
      <c r="AG29" s="574">
        <f t="shared" si="69"/>
        <v>8.961323700933832</v>
      </c>
      <c r="AH29" s="574">
        <f t="shared" si="69"/>
        <v>-2.4290095148058799</v>
      </c>
      <c r="AI29" s="574">
        <f t="shared" si="69"/>
        <v>-2.2762664876639804</v>
      </c>
      <c r="AJ29" s="568"/>
      <c r="AK29" s="574">
        <f t="shared" si="70"/>
        <v>2.1674758491007085</v>
      </c>
      <c r="AL29" s="574">
        <f t="shared" si="71"/>
        <v>2.7927526711225559</v>
      </c>
      <c r="AM29" s="574">
        <f t="shared" si="71"/>
        <v>-4.0254834824365098</v>
      </c>
      <c r="AN29" s="574">
        <f t="shared" si="71"/>
        <v>6.7550179026176771</v>
      </c>
      <c r="AO29" s="568"/>
      <c r="AP29" s="574">
        <f t="shared" si="72"/>
        <v>4.0817255962750432</v>
      </c>
      <c r="AQ29" s="574">
        <f t="shared" si="73"/>
        <v>-0.77378242964389887</v>
      </c>
      <c r="AR29" s="574">
        <f t="shared" si="73"/>
        <v>0.98709451398482084</v>
      </c>
      <c r="AS29" s="574">
        <f t="shared" si="73"/>
        <v>-0.21913484544558992</v>
      </c>
      <c r="AT29" s="640"/>
      <c r="AU29" s="574"/>
      <c r="AV29" s="574"/>
      <c r="AW29" s="574"/>
      <c r="AX29" s="574"/>
      <c r="AY29" s="574"/>
      <c r="AZ29" s="574"/>
      <c r="BA29" s="572">
        <f t="shared" si="74"/>
        <v>1.8975777592626475</v>
      </c>
      <c r="BB29" s="572">
        <f t="shared" si="75"/>
        <v>0.72506738720157227</v>
      </c>
      <c r="BC29" s="572">
        <f t="shared" si="75"/>
        <v>0.54942479010744449</v>
      </c>
      <c r="BD29" s="572">
        <f t="shared" si="75"/>
        <v>1.0018214936247993</v>
      </c>
      <c r="BE29" s="572"/>
      <c r="BF29" s="572">
        <f t="shared" si="76"/>
        <v>3.8773669972948399</v>
      </c>
      <c r="BG29" s="572">
        <f t="shared" si="77"/>
        <v>-0.69444444444444198</v>
      </c>
      <c r="BH29" s="572">
        <f t="shared" si="77"/>
        <v>4.7202797202797298</v>
      </c>
      <c r="BI29" s="572">
        <f t="shared" si="77"/>
        <v>-1.7529215358931705</v>
      </c>
      <c r="BJ29" s="572"/>
      <c r="BK29" s="572">
        <f t="shared" si="78"/>
        <v>4.1631265930331285</v>
      </c>
      <c r="BL29" s="572">
        <f t="shared" si="79"/>
        <v>0.65252854812398731</v>
      </c>
      <c r="BM29" s="572">
        <f t="shared" si="79"/>
        <v>-1.5397082658022643</v>
      </c>
      <c r="BN29" s="572">
        <f t="shared" si="79"/>
        <v>-1.0699588477366184</v>
      </c>
      <c r="BO29" s="572"/>
      <c r="BP29" s="572">
        <f t="shared" si="80"/>
        <v>8.3194675540765317E-2</v>
      </c>
      <c r="BQ29" s="572">
        <f t="shared" si="81"/>
        <v>2.1612635078969156</v>
      </c>
      <c r="BR29" s="572">
        <f t="shared" si="81"/>
        <v>0.32546786004881145</v>
      </c>
      <c r="BS29" s="572">
        <f t="shared" si="81"/>
        <v>0.72992700729925808</v>
      </c>
      <c r="BT29" s="572"/>
      <c r="BU29" s="572">
        <f t="shared" si="82"/>
        <v>3.5426731078904927</v>
      </c>
      <c r="BV29" s="572">
        <f t="shared" si="83"/>
        <v>3.5769828926905278</v>
      </c>
      <c r="BW29" s="572">
        <f t="shared" si="83"/>
        <v>6.9069069069069178</v>
      </c>
      <c r="BX29" s="572">
        <f t="shared" si="83"/>
        <v>4.2837078651685179</v>
      </c>
      <c r="BY29" s="572"/>
      <c r="BZ29" s="572">
        <f t="shared" si="84"/>
        <v>3.2323232323232309</v>
      </c>
      <c r="CA29" s="572">
        <f t="shared" si="85"/>
        <v>3.2615786040443684</v>
      </c>
      <c r="CB29" s="572">
        <f t="shared" si="85"/>
        <v>0.94756790903345323</v>
      </c>
      <c r="CC29" s="572">
        <f t="shared" si="85"/>
        <v>8.9034418022528214</v>
      </c>
      <c r="CD29" s="572"/>
      <c r="CE29" s="572">
        <f t="shared" si="86"/>
        <v>-2.1555763823805085</v>
      </c>
      <c r="CF29" s="572">
        <f t="shared" si="87"/>
        <v>1.9157088122605304</v>
      </c>
      <c r="CG29" s="572">
        <f t="shared" si="87"/>
        <v>2.8195488721804551</v>
      </c>
      <c r="CH29" s="572">
        <f t="shared" si="87"/>
        <v>3.1992687385740348</v>
      </c>
      <c r="CI29" s="572"/>
      <c r="CJ29" s="572"/>
      <c r="CK29" s="572"/>
      <c r="CL29" s="572"/>
      <c r="CM29" s="572"/>
      <c r="CN29" s="619" t="e">
        <f>(CN7/#REF!-1)*100</f>
        <v>#REF!</v>
      </c>
      <c r="CO29" s="619">
        <v>1.8726591760299671</v>
      </c>
      <c r="CP29" s="619">
        <f t="shared" si="88"/>
        <v>4.5588235294117707</v>
      </c>
      <c r="CQ29" s="619">
        <f t="shared" si="88"/>
        <v>0.84388185654009629</v>
      </c>
      <c r="CR29" s="619"/>
      <c r="CS29" s="619">
        <f t="shared" si="89"/>
        <v>3.8453144589733146</v>
      </c>
      <c r="CT29" s="619">
        <f t="shared" si="90"/>
        <v>1.3163196776359909</v>
      </c>
      <c r="CU29" s="619">
        <f t="shared" si="90"/>
        <v>-1.471563038578827</v>
      </c>
      <c r="CV29" s="619">
        <f t="shared" si="90"/>
        <v>-0.91496232508071484</v>
      </c>
      <c r="CW29" s="619"/>
      <c r="CX29" s="619"/>
      <c r="CY29" s="619"/>
      <c r="CZ29" s="619"/>
      <c r="DA29" s="619"/>
      <c r="DB29" s="619">
        <f t="shared" si="91"/>
        <v>6.0225420966866006</v>
      </c>
      <c r="DC29" s="619">
        <f t="shared" si="92"/>
        <v>2.766570605187324</v>
      </c>
      <c r="DD29" s="619">
        <f t="shared" si="92"/>
        <v>5.7950065432791131</v>
      </c>
      <c r="DE29" s="619">
        <f t="shared" si="92"/>
        <v>-6.0614953425575324</v>
      </c>
      <c r="DF29" s="619"/>
      <c r="DG29" s="619">
        <f t="shared" si="93"/>
        <v>1.9045440879337017</v>
      </c>
      <c r="DH29" s="619">
        <f t="shared" si="94"/>
        <v>0.90430707901720808</v>
      </c>
      <c r="DI29" s="619">
        <f t="shared" si="94"/>
        <v>2.7735903863506994</v>
      </c>
      <c r="DJ29" s="619">
        <f t="shared" ref="DJ29:DJ37" si="107">(DJ7/DI7-1)*100</f>
        <v>-1.7343608275238176</v>
      </c>
      <c r="DK29" s="619"/>
      <c r="DL29" s="619">
        <f t="shared" si="95"/>
        <v>5.6824126126752139</v>
      </c>
      <c r="DM29" s="619">
        <f t="shared" si="96"/>
        <v>-1.2222033113085895</v>
      </c>
      <c r="DN29" s="619">
        <f t="shared" si="96"/>
        <v>4.9818132175276642</v>
      </c>
      <c r="DO29" s="619">
        <f>(DO7/DN7-1)*100</f>
        <v>-5.8349791550713075</v>
      </c>
      <c r="DP29" s="619"/>
      <c r="DQ29" s="619">
        <f t="shared" si="97"/>
        <v>3.1277038091581222</v>
      </c>
      <c r="DR29" s="619">
        <f t="shared" ref="DR29:DS37" si="108">(DR7/DQ7-1)*100</f>
        <v>2.3334004249522033</v>
      </c>
      <c r="DS29" s="619">
        <f t="shared" si="108"/>
        <v>-1.0445921414894754</v>
      </c>
      <c r="DT29" s="619">
        <f t="shared" ref="DT29:DT37" si="109">(DT7/DS7-1)*100</f>
        <v>1.4684106746315706</v>
      </c>
      <c r="DU29" s="619">
        <f t="shared" si="98"/>
        <v>1.6181323159479621</v>
      </c>
      <c r="DV29" s="619">
        <f t="shared" si="99"/>
        <v>0.14755492898816946</v>
      </c>
      <c r="DW29" s="619">
        <f t="shared" ref="DW29:DY36" si="110">DW7/DV7*100-100</f>
        <v>-100</v>
      </c>
      <c r="DX29" s="619" t="e">
        <f t="shared" si="110"/>
        <v>#DIV/0!</v>
      </c>
      <c r="DY29" s="619" t="e">
        <f>DY7/DX7*100-100</f>
        <v>#DIV/0!</v>
      </c>
      <c r="DZ29" s="619"/>
      <c r="EA29" s="619" t="e">
        <f t="shared" si="100"/>
        <v>#DIV/0!</v>
      </c>
      <c r="EB29" s="619" t="e">
        <f t="shared" ref="EB29:ED37" si="111">EB7/EA7*100-100</f>
        <v>#DIV/0!</v>
      </c>
      <c r="EC29" s="619" t="e">
        <f t="shared" si="111"/>
        <v>#DIV/0!</v>
      </c>
      <c r="ED29" s="619" t="e">
        <f t="shared" si="111"/>
        <v>#DIV/0!</v>
      </c>
      <c r="EE29" s="619"/>
      <c r="EF29" s="619"/>
      <c r="EG29" s="619" t="e">
        <f t="shared" si="101"/>
        <v>#DIV/0!</v>
      </c>
      <c r="EH29" s="619" t="e">
        <f t="shared" ref="EH29:EJ31" si="112">EH7/EG7*100-100</f>
        <v>#DIV/0!</v>
      </c>
      <c r="EI29" s="619" t="e">
        <f t="shared" si="112"/>
        <v>#DIV/0!</v>
      </c>
      <c r="EJ29" s="619" t="e">
        <f t="shared" si="112"/>
        <v>#DIV/0!</v>
      </c>
      <c r="EK29" s="619"/>
      <c r="EL29" s="619" t="e">
        <f t="shared" si="102"/>
        <v>#DIV/0!</v>
      </c>
      <c r="EM29" s="619" t="e">
        <f t="shared" ref="EM29:EO37" si="113">EM7/EL7*100-100</f>
        <v>#DIV/0!</v>
      </c>
      <c r="EN29" s="619" t="e">
        <f t="shared" si="113"/>
        <v>#DIV/0!</v>
      </c>
      <c r="EO29" s="619" t="e">
        <f t="shared" si="113"/>
        <v>#DIV/0!</v>
      </c>
      <c r="EP29" s="619"/>
      <c r="EQ29" s="619" t="e">
        <f t="shared" si="103"/>
        <v>#DIV/0!</v>
      </c>
      <c r="ER29" s="619" t="e">
        <f t="shared" si="104"/>
        <v>#DIV/0!</v>
      </c>
      <c r="ES29" s="619" t="e">
        <f t="shared" si="104"/>
        <v>#DIV/0!</v>
      </c>
      <c r="ET29" s="619" t="e">
        <f t="shared" si="104"/>
        <v>#DIV/0!</v>
      </c>
      <c r="EU29" s="619"/>
      <c r="EV29" s="619" t="e">
        <f t="shared" si="105"/>
        <v>#DIV/0!</v>
      </c>
      <c r="EW29" s="619" t="e">
        <f t="shared" si="106"/>
        <v>#DIV/0!</v>
      </c>
      <c r="EX29" s="674" t="e">
        <f t="shared" si="106"/>
        <v>#DIV/0!</v>
      </c>
    </row>
    <row r="30" spans="1:154" s="177" customFormat="1" ht="13.5" customHeight="1" x14ac:dyDescent="0.2">
      <c r="A30" s="551" t="s">
        <v>127</v>
      </c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74"/>
      <c r="N30" s="574">
        <f t="shared" si="61"/>
        <v>17.7376996516196</v>
      </c>
      <c r="O30" s="574">
        <f t="shared" si="61"/>
        <v>7.7318820849733516</v>
      </c>
      <c r="P30" s="564"/>
      <c r="Q30" s="574">
        <f t="shared" si="62"/>
        <v>2.4634668958376515</v>
      </c>
      <c r="R30" s="574">
        <f t="shared" si="63"/>
        <v>2.2823519272545889</v>
      </c>
      <c r="S30" s="574">
        <f t="shared" si="63"/>
        <v>3.2400126478025593</v>
      </c>
      <c r="T30" s="574">
        <f t="shared" si="63"/>
        <v>-0.26841830401657107</v>
      </c>
      <c r="U30" s="565"/>
      <c r="V30" s="574">
        <f t="shared" si="64"/>
        <v>9.8085939541009637</v>
      </c>
      <c r="W30" s="574">
        <f t="shared" si="65"/>
        <v>-0.53038884209818393</v>
      </c>
      <c r="X30" s="574">
        <f t="shared" si="65"/>
        <v>2.5060130591327834</v>
      </c>
      <c r="Y30" s="574">
        <f t="shared" si="65"/>
        <v>0.61181277400856882</v>
      </c>
      <c r="Z30" s="568"/>
      <c r="AA30" s="574">
        <f t="shared" si="66"/>
        <v>-2.3827338334653114</v>
      </c>
      <c r="AB30" s="574">
        <f t="shared" si="67"/>
        <v>1.2031922940504813</v>
      </c>
      <c r="AC30" s="574">
        <f t="shared" si="67"/>
        <v>8.249002617246548</v>
      </c>
      <c r="AD30" s="574">
        <f t="shared" si="67"/>
        <v>2.4900982437110475</v>
      </c>
      <c r="AE30" s="568"/>
      <c r="AF30" s="574">
        <f t="shared" si="68"/>
        <v>-23.373147993294374</v>
      </c>
      <c r="AG30" s="574">
        <f t="shared" si="69"/>
        <v>-1.0218325505713555</v>
      </c>
      <c r="AH30" s="574">
        <f t="shared" si="69"/>
        <v>-0.73116340734333818</v>
      </c>
      <c r="AI30" s="574">
        <f t="shared" si="69"/>
        <v>0.29403627813222588</v>
      </c>
      <c r="AJ30" s="568"/>
      <c r="AK30" s="574">
        <f t="shared" si="70"/>
        <v>-2.1547573358885908</v>
      </c>
      <c r="AL30" s="574">
        <f t="shared" si="71"/>
        <v>0.58142968510319637</v>
      </c>
      <c r="AM30" s="574">
        <f t="shared" si="71"/>
        <v>1.2815028846101084</v>
      </c>
      <c r="AN30" s="574">
        <f t="shared" si="71"/>
        <v>0.89325833072613214</v>
      </c>
      <c r="AO30" s="568"/>
      <c r="AP30" s="574">
        <f t="shared" si="72"/>
        <v>0.74555598152523661</v>
      </c>
      <c r="AQ30" s="574">
        <f t="shared" si="73"/>
        <v>2.2643771993080986</v>
      </c>
      <c r="AR30" s="574">
        <f t="shared" si="73"/>
        <v>-3.584354466619466</v>
      </c>
      <c r="AS30" s="574">
        <f t="shared" si="73"/>
        <v>0.68163238784864078</v>
      </c>
      <c r="AT30" s="640"/>
      <c r="AU30" s="574"/>
      <c r="AV30" s="574"/>
      <c r="AW30" s="574"/>
      <c r="AX30" s="574"/>
      <c r="AY30" s="574"/>
      <c r="AZ30" s="574"/>
      <c r="BA30" s="572">
        <f t="shared" si="74"/>
        <v>2.2620200067185792</v>
      </c>
      <c r="BB30" s="572">
        <f t="shared" si="75"/>
        <v>-8.106884684626614E-2</v>
      </c>
      <c r="BC30" s="572">
        <f t="shared" si="75"/>
        <v>-1.1933984413584175</v>
      </c>
      <c r="BD30" s="572">
        <f t="shared" si="75"/>
        <v>-0.393700787401563</v>
      </c>
      <c r="BE30" s="572"/>
      <c r="BF30" s="572">
        <f t="shared" si="76"/>
        <v>4.743083003952564</v>
      </c>
      <c r="BG30" s="572">
        <f t="shared" si="77"/>
        <v>-1.5094339622641395</v>
      </c>
      <c r="BH30" s="572">
        <f t="shared" si="77"/>
        <v>-5.2681992337164862</v>
      </c>
      <c r="BI30" s="572">
        <f t="shared" si="77"/>
        <v>6.0667340748230547</v>
      </c>
      <c r="BJ30" s="572"/>
      <c r="BK30" s="572">
        <f t="shared" si="78"/>
        <v>2.0972354623450817</v>
      </c>
      <c r="BL30" s="572">
        <f t="shared" si="79"/>
        <v>3.2679738562091609</v>
      </c>
      <c r="BM30" s="572">
        <f t="shared" si="79"/>
        <v>1.8083182640144635</v>
      </c>
      <c r="BN30" s="572">
        <f t="shared" si="79"/>
        <v>1.243339253996445</v>
      </c>
      <c r="BO30" s="572"/>
      <c r="BP30" s="572">
        <f t="shared" si="80"/>
        <v>0.70175438596491446</v>
      </c>
      <c r="BQ30" s="572">
        <f t="shared" si="81"/>
        <v>1.0452961672474004</v>
      </c>
      <c r="BR30" s="572">
        <f t="shared" si="81"/>
        <v>-0.51724137931032921</v>
      </c>
      <c r="BS30" s="572">
        <f t="shared" si="81"/>
        <v>0.34662045060658286</v>
      </c>
      <c r="BT30" s="572"/>
      <c r="BU30" s="572">
        <f t="shared" si="82"/>
        <v>0.86355785837650689</v>
      </c>
      <c r="BV30" s="572">
        <f t="shared" si="83"/>
        <v>2.3972602739726012</v>
      </c>
      <c r="BW30" s="572">
        <f t="shared" si="83"/>
        <v>2.4247491638796026</v>
      </c>
      <c r="BX30" s="572">
        <f t="shared" si="83"/>
        <v>0.32653061224492408</v>
      </c>
      <c r="BY30" s="572"/>
      <c r="BZ30" s="572">
        <f t="shared" si="84"/>
        <v>0.97640358014645656</v>
      </c>
      <c r="CA30" s="572">
        <f t="shared" si="85"/>
        <v>-2.3368251410153085</v>
      </c>
      <c r="CB30" s="572">
        <f t="shared" si="85"/>
        <v>3.4653465346534906</v>
      </c>
      <c r="CC30" s="572">
        <f t="shared" si="85"/>
        <v>-2.0498405103668405</v>
      </c>
      <c r="CD30" s="572"/>
      <c r="CE30" s="572">
        <f t="shared" si="86"/>
        <v>1.2182741116751217</v>
      </c>
      <c r="CF30" s="572">
        <f t="shared" si="87"/>
        <v>1.0030090270812364</v>
      </c>
      <c r="CG30" s="572">
        <f t="shared" si="87"/>
        <v>4.0714995034756729</v>
      </c>
      <c r="CH30" s="572">
        <f t="shared" si="87"/>
        <v>-0.47709923664122078</v>
      </c>
      <c r="CI30" s="572"/>
      <c r="CJ30" s="572"/>
      <c r="CK30" s="572"/>
      <c r="CL30" s="572"/>
      <c r="CM30" s="572"/>
      <c r="CN30" s="619" t="e">
        <f>(CN8/#REF!-1)*100</f>
        <v>#REF!</v>
      </c>
      <c r="CO30" s="619">
        <v>-0.48882681564245134</v>
      </c>
      <c r="CP30" s="619">
        <f t="shared" si="88"/>
        <v>0.56140350877194045</v>
      </c>
      <c r="CQ30" s="619">
        <f t="shared" si="88"/>
        <v>0.41870202372642495</v>
      </c>
      <c r="CR30" s="619"/>
      <c r="CS30" s="619">
        <f t="shared" si="89"/>
        <v>-8.8968638210018547E-2</v>
      </c>
      <c r="CT30" s="619">
        <f t="shared" si="90"/>
        <v>0.62630480167014113</v>
      </c>
      <c r="CU30" s="619">
        <f t="shared" si="90"/>
        <v>3.9142461964038811</v>
      </c>
      <c r="CV30" s="619">
        <f t="shared" si="90"/>
        <v>2.9814987355250899</v>
      </c>
      <c r="CW30" s="619"/>
      <c r="CX30" s="619"/>
      <c r="CY30" s="619"/>
      <c r="CZ30" s="619"/>
      <c r="DA30" s="619"/>
      <c r="DB30" s="619">
        <f t="shared" si="91"/>
        <v>-0.56223342380770092</v>
      </c>
      <c r="DC30" s="619">
        <f t="shared" si="92"/>
        <v>5.1991941249096563E-2</v>
      </c>
      <c r="DD30" s="619">
        <f t="shared" si="92"/>
        <v>9.5915556999037754E-2</v>
      </c>
      <c r="DE30" s="619">
        <f t="shared" si="92"/>
        <v>-1.1048642645856699</v>
      </c>
      <c r="DF30" s="619"/>
      <c r="DG30" s="619">
        <f t="shared" si="93"/>
        <v>0.15076207309878686</v>
      </c>
      <c r="DH30" s="619">
        <f t="shared" si="94"/>
        <v>0.56778697748856022</v>
      </c>
      <c r="DI30" s="619">
        <f>(DI8/DH8-1)*100</f>
        <v>-3.7762766299069606</v>
      </c>
      <c r="DJ30" s="619">
        <f t="shared" si="107"/>
        <v>-1.4697407210539915E-2</v>
      </c>
      <c r="DK30" s="619"/>
      <c r="DL30" s="619">
        <f t="shared" si="95"/>
        <v>0.21812107780274648</v>
      </c>
      <c r="DM30" s="619">
        <f t="shared" si="96"/>
        <v>-2.7554395720441605E-2</v>
      </c>
      <c r="DN30" s="619">
        <f t="shared" si="96"/>
        <v>0</v>
      </c>
      <c r="DO30" s="619">
        <f>(DO8/DN8-1)*100</f>
        <v>-0.16573517770803736</v>
      </c>
      <c r="DP30" s="619"/>
      <c r="DQ30" s="619">
        <f t="shared" si="97"/>
        <v>0.18571863424359236</v>
      </c>
      <c r="DR30" s="619">
        <f t="shared" si="108"/>
        <v>-0.58766839775127311</v>
      </c>
      <c r="DS30" s="619">
        <f t="shared" si="108"/>
        <v>8.0266071287349305E-2</v>
      </c>
      <c r="DT30" s="619">
        <f t="shared" si="109"/>
        <v>0.68381551714082889</v>
      </c>
      <c r="DU30" s="619">
        <f t="shared" si="98"/>
        <v>0.67010188235869794</v>
      </c>
      <c r="DV30" s="619">
        <f t="shared" si="99"/>
        <v>-1.3620495718891235E-2</v>
      </c>
      <c r="DW30" s="619">
        <f t="shared" si="110"/>
        <v>-100</v>
      </c>
      <c r="DX30" s="619" t="e">
        <f t="shared" si="110"/>
        <v>#DIV/0!</v>
      </c>
      <c r="DY30" s="619" t="e">
        <f t="shared" si="110"/>
        <v>#DIV/0!</v>
      </c>
      <c r="DZ30" s="619"/>
      <c r="EA30" s="619" t="e">
        <f t="shared" si="100"/>
        <v>#DIV/0!</v>
      </c>
      <c r="EB30" s="619" t="e">
        <f t="shared" si="111"/>
        <v>#DIV/0!</v>
      </c>
      <c r="EC30" s="619" t="e">
        <f t="shared" si="111"/>
        <v>#DIV/0!</v>
      </c>
      <c r="ED30" s="619" t="e">
        <f t="shared" si="111"/>
        <v>#DIV/0!</v>
      </c>
      <c r="EE30" s="619"/>
      <c r="EF30" s="619"/>
      <c r="EG30" s="619" t="e">
        <f t="shared" si="101"/>
        <v>#DIV/0!</v>
      </c>
      <c r="EH30" s="619" t="e">
        <f t="shared" si="112"/>
        <v>#DIV/0!</v>
      </c>
      <c r="EI30" s="619" t="e">
        <f t="shared" si="112"/>
        <v>#DIV/0!</v>
      </c>
      <c r="EJ30" s="619" t="e">
        <f t="shared" si="112"/>
        <v>#DIV/0!</v>
      </c>
      <c r="EK30" s="619"/>
      <c r="EL30" s="619" t="e">
        <f t="shared" si="102"/>
        <v>#DIV/0!</v>
      </c>
      <c r="EM30" s="619" t="e">
        <f t="shared" si="113"/>
        <v>#DIV/0!</v>
      </c>
      <c r="EN30" s="619" t="e">
        <f t="shared" si="113"/>
        <v>#DIV/0!</v>
      </c>
      <c r="EO30" s="619" t="e">
        <f t="shared" si="113"/>
        <v>#DIV/0!</v>
      </c>
      <c r="EP30" s="619"/>
      <c r="EQ30" s="619" t="e">
        <f t="shared" si="103"/>
        <v>#DIV/0!</v>
      </c>
      <c r="ER30" s="619" t="e">
        <f t="shared" si="104"/>
        <v>#DIV/0!</v>
      </c>
      <c r="ES30" s="619" t="e">
        <f t="shared" si="104"/>
        <v>#DIV/0!</v>
      </c>
      <c r="ET30" s="619" t="e">
        <f t="shared" si="104"/>
        <v>#DIV/0!</v>
      </c>
      <c r="EU30" s="619"/>
      <c r="EV30" s="619" t="e">
        <f t="shared" si="105"/>
        <v>#DIV/0!</v>
      </c>
      <c r="EW30" s="619" t="e">
        <f t="shared" si="106"/>
        <v>#DIV/0!</v>
      </c>
      <c r="EX30" s="674" t="e">
        <f t="shared" si="106"/>
        <v>#DIV/0!</v>
      </c>
    </row>
    <row r="31" spans="1:154" s="177" customFormat="1" ht="13.5" customHeight="1" x14ac:dyDescent="0.2">
      <c r="A31" s="551" t="s">
        <v>165</v>
      </c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74"/>
      <c r="N31" s="574">
        <f t="shared" si="61"/>
        <v>-1.1198640544048066</v>
      </c>
      <c r="O31" s="574">
        <f t="shared" si="61"/>
        <v>6.2289054844758551</v>
      </c>
      <c r="P31" s="564"/>
      <c r="Q31" s="574">
        <f t="shared" si="62"/>
        <v>-1.7939714840310095</v>
      </c>
      <c r="R31" s="574">
        <f t="shared" si="63"/>
        <v>8.9514493995594755</v>
      </c>
      <c r="S31" s="574">
        <f t="shared" si="63"/>
        <v>1.0897095937976609</v>
      </c>
      <c r="T31" s="574">
        <f t="shared" si="63"/>
        <v>0.42775877522636119</v>
      </c>
      <c r="U31" s="565"/>
      <c r="V31" s="574">
        <f t="shared" si="64"/>
        <v>-1.3860319267703147</v>
      </c>
      <c r="W31" s="574">
        <f t="shared" si="65"/>
        <v>-2.2010254757099501</v>
      </c>
      <c r="X31" s="574">
        <f t="shared" si="65"/>
        <v>3.7875819704618285</v>
      </c>
      <c r="Y31" s="574">
        <f t="shared" si="65"/>
        <v>2.1988118977914972</v>
      </c>
      <c r="Z31" s="568"/>
      <c r="AA31" s="574">
        <f t="shared" si="66"/>
        <v>0.83390281332160754</v>
      </c>
      <c r="AB31" s="574">
        <f t="shared" si="67"/>
        <v>0.36735789212651859</v>
      </c>
      <c r="AC31" s="574">
        <f t="shared" si="67"/>
        <v>9.6134830502922384</v>
      </c>
      <c r="AD31" s="574">
        <f t="shared" si="67"/>
        <v>1.7449021707187429</v>
      </c>
      <c r="AE31" s="568"/>
      <c r="AF31" s="574">
        <f t="shared" si="68"/>
        <v>-25.20557128622043</v>
      </c>
      <c r="AG31" s="574">
        <f t="shared" si="69"/>
        <v>1.6026805113723785</v>
      </c>
      <c r="AH31" s="574">
        <f t="shared" si="69"/>
        <v>0.39167984035837211</v>
      </c>
      <c r="AI31" s="574">
        <f t="shared" si="69"/>
        <v>0.17516355878739454</v>
      </c>
      <c r="AJ31" s="568"/>
      <c r="AK31" s="574">
        <f t="shared" si="70"/>
        <v>-1.4154280840348421</v>
      </c>
      <c r="AL31" s="574">
        <f t="shared" si="71"/>
        <v>1.1191199097705162</v>
      </c>
      <c r="AM31" s="574">
        <f t="shared" si="71"/>
        <v>0.16600370716020052</v>
      </c>
      <c r="AN31" s="574">
        <f t="shared" si="71"/>
        <v>-0.79914327285087738</v>
      </c>
      <c r="AO31" s="568"/>
      <c r="AP31" s="574">
        <f t="shared" si="72"/>
        <v>-0.11343493154742923</v>
      </c>
      <c r="AQ31" s="574">
        <f t="shared" si="73"/>
        <v>0.54590676720156495</v>
      </c>
      <c r="AR31" s="574">
        <f t="shared" si="73"/>
        <v>-1.9299702494915416</v>
      </c>
      <c r="AS31" s="574">
        <f t="shared" si="73"/>
        <v>-0.33949789167495581</v>
      </c>
      <c r="AT31" s="640"/>
      <c r="AU31" s="574"/>
      <c r="AV31" s="574"/>
      <c r="AW31" s="574"/>
      <c r="AX31" s="574"/>
      <c r="AY31" s="574"/>
      <c r="AZ31" s="574"/>
      <c r="BA31" s="572">
        <f t="shared" si="74"/>
        <v>2.5937241529181865</v>
      </c>
      <c r="BB31" s="572">
        <f t="shared" si="75"/>
        <v>0.30751245597326893</v>
      </c>
      <c r="BC31" s="572">
        <f t="shared" si="75"/>
        <v>-0.80717981713389619</v>
      </c>
      <c r="BD31" s="572">
        <f t="shared" si="75"/>
        <v>-2.6946107784431073</v>
      </c>
      <c r="BE31" s="572"/>
      <c r="BF31" s="572">
        <f t="shared" si="76"/>
        <v>6.7692307692307496</v>
      </c>
      <c r="BG31" s="572">
        <f t="shared" si="77"/>
        <v>-2.4015369836695388</v>
      </c>
      <c r="BH31" s="572">
        <f t="shared" si="77"/>
        <v>0.68897637795275468</v>
      </c>
      <c r="BI31" s="572">
        <f t="shared" si="77"/>
        <v>0.3910068426197455</v>
      </c>
      <c r="BJ31" s="572"/>
      <c r="BK31" s="572">
        <f t="shared" si="78"/>
        <v>0.87633885102240683</v>
      </c>
      <c r="BL31" s="572">
        <f t="shared" si="79"/>
        <v>2.7027027027026973</v>
      </c>
      <c r="BM31" s="572">
        <f t="shared" si="79"/>
        <v>0.1879699248120037</v>
      </c>
      <c r="BN31" s="572">
        <f t="shared" si="79"/>
        <v>1.9699812382739434</v>
      </c>
      <c r="BO31" s="572"/>
      <c r="BP31" s="572">
        <f t="shared" si="80"/>
        <v>2.7598896044158217</v>
      </c>
      <c r="BQ31" s="572">
        <f t="shared" si="81"/>
        <v>-8.9525514771737758E-2</v>
      </c>
      <c r="BR31" s="572">
        <f t="shared" si="81"/>
        <v>2.1505376344086224</v>
      </c>
      <c r="BS31" s="572">
        <f t="shared" si="81"/>
        <v>1.0526315789473717</v>
      </c>
      <c r="BT31" s="572"/>
      <c r="BU31" s="572">
        <f t="shared" si="82"/>
        <v>-0.34722222222223209</v>
      </c>
      <c r="BV31" s="572">
        <f t="shared" si="83"/>
        <v>1.5679442508710784</v>
      </c>
      <c r="BW31" s="572">
        <f t="shared" si="83"/>
        <v>4.9742710120068701</v>
      </c>
      <c r="BX31" s="572">
        <f t="shared" si="83"/>
        <v>0.98039215686274161</v>
      </c>
      <c r="BY31" s="572"/>
      <c r="BZ31" s="572">
        <f t="shared" si="84"/>
        <v>1.2135922330097193</v>
      </c>
      <c r="CA31" s="572">
        <f t="shared" si="85"/>
        <v>2.7178257394084859</v>
      </c>
      <c r="CB31" s="572">
        <f t="shared" si="85"/>
        <v>2.8015564202334531</v>
      </c>
      <c r="CC31" s="572">
        <f t="shared" si="85"/>
        <v>3.9364118092354294</v>
      </c>
      <c r="CD31" s="572"/>
      <c r="CE31" s="572">
        <f t="shared" si="86"/>
        <v>5.2000000000000046</v>
      </c>
      <c r="CF31" s="572">
        <f t="shared" si="87"/>
        <v>0.95057034220531467</v>
      </c>
      <c r="CG31" s="572">
        <f t="shared" si="87"/>
        <v>1.4124293785310771</v>
      </c>
      <c r="CH31" s="572">
        <f t="shared" si="87"/>
        <v>4.4568245125348183</v>
      </c>
      <c r="CI31" s="572"/>
      <c r="CJ31" s="572"/>
      <c r="CK31" s="572"/>
      <c r="CL31" s="572"/>
      <c r="CM31" s="572"/>
      <c r="CN31" s="619" t="e">
        <f>(CN9/#REF!-1)*100</f>
        <v>#REF!</v>
      </c>
      <c r="CO31" s="619">
        <v>0.59760956175298752</v>
      </c>
      <c r="CP31" s="619">
        <f t="shared" si="88"/>
        <v>2.7062706270627013</v>
      </c>
      <c r="CQ31" s="619">
        <f t="shared" si="88"/>
        <v>0.25706940874037354</v>
      </c>
      <c r="CR31" s="619"/>
      <c r="CS31" s="619">
        <f t="shared" si="89"/>
        <v>8.4747013150106909</v>
      </c>
      <c r="CT31" s="619">
        <f t="shared" si="90"/>
        <v>-2.5073920756948476</v>
      </c>
      <c r="CU31" s="619">
        <f t="shared" si="90"/>
        <v>6.6056047555501651</v>
      </c>
      <c r="CV31" s="619">
        <f t="shared" si="90"/>
        <v>-2.0256045519203458</v>
      </c>
      <c r="CW31" s="619"/>
      <c r="CX31" s="619"/>
      <c r="CY31" s="619"/>
      <c r="CZ31" s="619"/>
      <c r="DA31" s="619"/>
      <c r="DB31" s="619">
        <f t="shared" si="91"/>
        <v>-1.8642197572448893</v>
      </c>
      <c r="DC31" s="619">
        <f t="shared" si="92"/>
        <v>-9.1549295774647774</v>
      </c>
      <c r="DD31" s="619">
        <f t="shared" si="92"/>
        <v>0.1361520422122231</v>
      </c>
      <c r="DE31" s="619">
        <f t="shared" si="92"/>
        <v>3.3437823339569128</v>
      </c>
      <c r="DF31" s="619"/>
      <c r="DG31" s="619">
        <f t="shared" si="93"/>
        <v>4.4188232389852367E-2</v>
      </c>
      <c r="DH31" s="619">
        <f t="shared" si="94"/>
        <v>1.6051760597120435</v>
      </c>
      <c r="DI31" s="619">
        <f t="shared" si="94"/>
        <v>0.17028885506282787</v>
      </c>
      <c r="DJ31" s="619">
        <f t="shared" si="107"/>
        <v>-0.1705017403803577</v>
      </c>
      <c r="DK31" s="619"/>
      <c r="DL31" s="619">
        <f t="shared" si="95"/>
        <v>6.3062849420436606E-2</v>
      </c>
      <c r="DM31" s="619">
        <f t="shared" si="96"/>
        <v>1.7414746236027234</v>
      </c>
      <c r="DN31" s="619">
        <f t="shared" si="96"/>
        <v>1.3069230292206413E-2</v>
      </c>
      <c r="DO31" s="619">
        <f t="shared" si="96"/>
        <v>1.971127136794304</v>
      </c>
      <c r="DP31" s="619"/>
      <c r="DQ31" s="619">
        <f t="shared" si="97"/>
        <v>0.55782141159261833</v>
      </c>
      <c r="DR31" s="619">
        <f t="shared" si="108"/>
        <v>0.28354305382294331</v>
      </c>
      <c r="DS31" s="619">
        <f t="shared" si="108"/>
        <v>-3.2489587757550509</v>
      </c>
      <c r="DT31" s="619">
        <f t="shared" si="109"/>
        <v>0.60041900690301908</v>
      </c>
      <c r="DU31" s="619">
        <f t="shared" si="98"/>
        <v>0.52136135907774328</v>
      </c>
      <c r="DV31" s="619">
        <f t="shared" si="99"/>
        <v>-7.858580372299695E-2</v>
      </c>
      <c r="DW31" s="619">
        <f t="shared" si="110"/>
        <v>-100</v>
      </c>
      <c r="DX31" s="619" t="e">
        <f t="shared" si="110"/>
        <v>#DIV/0!</v>
      </c>
      <c r="DY31" s="619" t="e">
        <f t="shared" si="110"/>
        <v>#DIV/0!</v>
      </c>
      <c r="DZ31" s="619"/>
      <c r="EA31" s="619" t="e">
        <f t="shared" si="100"/>
        <v>#DIV/0!</v>
      </c>
      <c r="EB31" s="619" t="e">
        <f t="shared" si="111"/>
        <v>#DIV/0!</v>
      </c>
      <c r="EC31" s="619" t="e">
        <f t="shared" si="111"/>
        <v>#DIV/0!</v>
      </c>
      <c r="ED31" s="619" t="e">
        <f t="shared" si="111"/>
        <v>#DIV/0!</v>
      </c>
      <c r="EE31" s="619"/>
      <c r="EF31" s="619"/>
      <c r="EG31" s="619" t="e">
        <f t="shared" si="101"/>
        <v>#DIV/0!</v>
      </c>
      <c r="EH31" s="619" t="e">
        <f t="shared" si="112"/>
        <v>#DIV/0!</v>
      </c>
      <c r="EI31" s="619" t="e">
        <f t="shared" si="112"/>
        <v>#DIV/0!</v>
      </c>
      <c r="EJ31" s="619" t="e">
        <f t="shared" si="112"/>
        <v>#DIV/0!</v>
      </c>
      <c r="EK31" s="619"/>
      <c r="EL31" s="619" t="e">
        <f t="shared" si="102"/>
        <v>#DIV/0!</v>
      </c>
      <c r="EM31" s="619" t="e">
        <f t="shared" si="113"/>
        <v>#DIV/0!</v>
      </c>
      <c r="EN31" s="619" t="e">
        <f t="shared" si="113"/>
        <v>#DIV/0!</v>
      </c>
      <c r="EO31" s="619" t="e">
        <f t="shared" si="113"/>
        <v>#DIV/0!</v>
      </c>
      <c r="EP31" s="619"/>
      <c r="EQ31" s="619" t="e">
        <f t="shared" si="103"/>
        <v>#DIV/0!</v>
      </c>
      <c r="ER31" s="619" t="e">
        <f t="shared" si="104"/>
        <v>#DIV/0!</v>
      </c>
      <c r="ES31" s="619" t="e">
        <f t="shared" si="104"/>
        <v>#DIV/0!</v>
      </c>
      <c r="ET31" s="619" t="e">
        <f t="shared" si="104"/>
        <v>#DIV/0!</v>
      </c>
      <c r="EU31" s="619"/>
      <c r="EV31" s="619" t="e">
        <f t="shared" si="105"/>
        <v>#DIV/0!</v>
      </c>
      <c r="EW31" s="619" t="e">
        <f t="shared" si="106"/>
        <v>#DIV/0!</v>
      </c>
      <c r="EX31" s="674" t="e">
        <f t="shared" si="106"/>
        <v>#DIV/0!</v>
      </c>
    </row>
    <row r="32" spans="1:154" s="177" customFormat="1" ht="13.5" customHeight="1" x14ac:dyDescent="0.2">
      <c r="A32" s="551" t="s">
        <v>129</v>
      </c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74"/>
      <c r="N32" s="574">
        <f t="shared" si="61"/>
        <v>-5.0199905163927028</v>
      </c>
      <c r="O32" s="574">
        <f t="shared" si="61"/>
        <v>4.3726181263765929</v>
      </c>
      <c r="P32" s="564"/>
      <c r="Q32" s="574">
        <f t="shared" si="62"/>
        <v>-4.1404157912932282</v>
      </c>
      <c r="R32" s="574">
        <f t="shared" si="63"/>
        <v>1.6619100828812128</v>
      </c>
      <c r="S32" s="574">
        <f t="shared" si="63"/>
        <v>1.6022806407511858</v>
      </c>
      <c r="T32" s="574">
        <f t="shared" si="63"/>
        <v>2.0699803820595664</v>
      </c>
      <c r="U32" s="565"/>
      <c r="V32" s="574">
        <f t="shared" si="64"/>
        <v>-2.7608585792779028</v>
      </c>
      <c r="W32" s="574">
        <f t="shared" si="65"/>
        <v>-1.456421967790178</v>
      </c>
      <c r="X32" s="574">
        <f t="shared" si="65"/>
        <v>-2.4073981383726739</v>
      </c>
      <c r="Y32" s="574">
        <f t="shared" si="65"/>
        <v>2.9562450866142287</v>
      </c>
      <c r="Z32" s="568"/>
      <c r="AA32" s="574">
        <f t="shared" si="66"/>
        <v>2.024386090409469</v>
      </c>
      <c r="AB32" s="574">
        <f t="shared" si="67"/>
        <v>1.050180682212809</v>
      </c>
      <c r="AC32" s="574">
        <f t="shared" si="67"/>
        <v>-1.8007515796026108</v>
      </c>
      <c r="AD32" s="574">
        <f t="shared" si="67"/>
        <v>1.7955891330439622</v>
      </c>
      <c r="AE32" s="568"/>
      <c r="AF32" s="574">
        <f t="shared" si="68"/>
        <v>-27.62385638756686</v>
      </c>
      <c r="AG32" s="574">
        <f t="shared" si="69"/>
        <v>-4.5573925577868106</v>
      </c>
      <c r="AH32" s="574">
        <f t="shared" si="69"/>
        <v>-1.497596736474649</v>
      </c>
      <c r="AI32" s="574">
        <f t="shared" si="69"/>
        <v>-0.76748116660452226</v>
      </c>
      <c r="AJ32" s="568"/>
      <c r="AK32" s="574">
        <f t="shared" si="70"/>
        <v>1.9041834894399701</v>
      </c>
      <c r="AL32" s="574">
        <f t="shared" si="71"/>
        <v>5.0392158268230958E-2</v>
      </c>
      <c r="AM32" s="574">
        <f t="shared" si="71"/>
        <v>0.31843685971923996</v>
      </c>
      <c r="AN32" s="574">
        <f t="shared" si="71"/>
        <v>2.764030094252945</v>
      </c>
      <c r="AO32" s="568"/>
      <c r="AP32" s="574">
        <f t="shared" si="72"/>
        <v>1.0188105798470293</v>
      </c>
      <c r="AQ32" s="574">
        <f t="shared" si="73"/>
        <v>1.4346798186638088</v>
      </c>
      <c r="AR32" s="574">
        <f t="shared" si="73"/>
        <v>-4.8444238287000063</v>
      </c>
      <c r="AS32" s="574">
        <f t="shared" si="73"/>
        <v>1.1580214682608947</v>
      </c>
      <c r="AT32" s="640"/>
      <c r="AU32" s="574"/>
      <c r="AV32" s="574"/>
      <c r="AW32" s="574"/>
      <c r="AX32" s="574"/>
      <c r="AY32" s="574"/>
      <c r="AZ32" s="574"/>
      <c r="BA32" s="572">
        <f t="shared" si="74"/>
        <v>2.431208031760046</v>
      </c>
      <c r="BB32" s="572">
        <f t="shared" si="75"/>
        <v>0.11203152463481469</v>
      </c>
      <c r="BC32" s="572">
        <f t="shared" si="75"/>
        <v>0.74827439407390006</v>
      </c>
      <c r="BD32" s="572">
        <f t="shared" si="75"/>
        <v>-3.8385826771653475</v>
      </c>
      <c r="BE32" s="572"/>
      <c r="BF32" s="572">
        <f t="shared" si="76"/>
        <v>-1.7400204708290623</v>
      </c>
      <c r="BG32" s="572">
        <f t="shared" si="77"/>
        <v>9.2708333333333393</v>
      </c>
      <c r="BH32" s="572">
        <f t="shared" si="77"/>
        <v>-5.4337464251668415</v>
      </c>
      <c r="BI32" s="572">
        <f t="shared" si="77"/>
        <v>-0.90725806451613655</v>
      </c>
      <c r="BJ32" s="572"/>
      <c r="BK32" s="572">
        <f t="shared" si="78"/>
        <v>0.81383519837234797</v>
      </c>
      <c r="BL32" s="572">
        <f t="shared" si="79"/>
        <v>5.5499495459132131</v>
      </c>
      <c r="BM32" s="572">
        <f t="shared" si="79"/>
        <v>1.2428298279158811</v>
      </c>
      <c r="BN32" s="572">
        <f t="shared" si="79"/>
        <v>1.888574126534448</v>
      </c>
      <c r="BO32" s="572"/>
      <c r="BP32" s="572">
        <f t="shared" si="80"/>
        <v>-9.26784059314123E-2</v>
      </c>
      <c r="BQ32" s="572">
        <f t="shared" si="81"/>
        <v>0.64935064935065512</v>
      </c>
      <c r="BR32" s="572">
        <f t="shared" si="81"/>
        <v>-9.2165898617524444E-2</v>
      </c>
      <c r="BS32" s="572">
        <f t="shared" si="81"/>
        <v>0.18450184501845879</v>
      </c>
      <c r="BT32" s="572"/>
      <c r="BU32" s="572">
        <f t="shared" si="82"/>
        <v>0.36832412523020164</v>
      </c>
      <c r="BV32" s="572">
        <f t="shared" si="83"/>
        <v>1.192660550458724</v>
      </c>
      <c r="BW32" s="572">
        <f t="shared" si="83"/>
        <v>1.3599274705349051</v>
      </c>
      <c r="BX32" s="572">
        <f t="shared" si="83"/>
        <v>0.35778175313059268</v>
      </c>
      <c r="BY32" s="572"/>
      <c r="BZ32" s="572">
        <f t="shared" si="84"/>
        <v>1.6934046345810971</v>
      </c>
      <c r="CA32" s="572">
        <f t="shared" si="85"/>
        <v>8.7642418930777843E-2</v>
      </c>
      <c r="CB32" s="572">
        <f t="shared" si="85"/>
        <v>15.936952714535902</v>
      </c>
      <c r="CC32" s="572">
        <f t="shared" si="85"/>
        <v>1.5336858006042231</v>
      </c>
      <c r="CD32" s="572"/>
      <c r="CE32" s="572">
        <f t="shared" si="86"/>
        <v>-0.30060120240480437</v>
      </c>
      <c r="CF32" s="572">
        <f t="shared" si="87"/>
        <v>1.1055276381909396</v>
      </c>
      <c r="CG32" s="572">
        <f t="shared" si="87"/>
        <v>9.940357852884496E-2</v>
      </c>
      <c r="CH32" s="572">
        <f t="shared" si="87"/>
        <v>-2.5819265143992132</v>
      </c>
      <c r="CI32" s="572"/>
      <c r="CJ32" s="572"/>
      <c r="CK32" s="572"/>
      <c r="CL32" s="572"/>
      <c r="CM32" s="572"/>
      <c r="CN32" s="619" t="e">
        <f>(CN10/#REF!-1)*100</f>
        <v>#REF!</v>
      </c>
      <c r="CO32" s="619">
        <v>0.87976539589442737</v>
      </c>
      <c r="CP32" s="619">
        <f t="shared" si="88"/>
        <v>0.8720930232558155</v>
      </c>
      <c r="CQ32" s="619">
        <f t="shared" si="88"/>
        <v>0.36023054755043304</v>
      </c>
      <c r="CR32" s="619"/>
      <c r="CS32" s="619">
        <f t="shared" si="89"/>
        <v>1.2616758455575638</v>
      </c>
      <c r="CT32" s="619">
        <f t="shared" si="90"/>
        <v>8.6067171957090451</v>
      </c>
      <c r="CU32" s="619">
        <f t="shared" si="90"/>
        <v>1.2534273403838281</v>
      </c>
      <c r="CV32" s="619">
        <f t="shared" si="90"/>
        <v>-3.2430689877498309</v>
      </c>
      <c r="CW32" s="619"/>
      <c r="CX32" s="619"/>
      <c r="CY32" s="619"/>
      <c r="CZ32" s="619"/>
      <c r="DA32" s="619"/>
      <c r="DB32" s="619">
        <f t="shared" si="91"/>
        <v>2.7120677017391959</v>
      </c>
      <c r="DC32" s="619">
        <f t="shared" si="92"/>
        <v>0.93421564811211333</v>
      </c>
      <c r="DD32" s="619">
        <f t="shared" si="92"/>
        <v>0.17001414063502196</v>
      </c>
      <c r="DE32" s="619">
        <f t="shared" si="92"/>
        <v>-0.63945211338470864</v>
      </c>
      <c r="DF32" s="619"/>
      <c r="DG32" s="619">
        <f t="shared" si="93"/>
        <v>-0.45959211460570026</v>
      </c>
      <c r="DH32" s="619">
        <f t="shared" si="94"/>
        <v>-0.89665517311534604</v>
      </c>
      <c r="DI32" s="619">
        <f t="shared" si="94"/>
        <v>0.73828731026128747</v>
      </c>
      <c r="DJ32" s="619">
        <f t="shared" si="107"/>
        <v>0</v>
      </c>
      <c r="DK32" s="619"/>
      <c r="DL32" s="619">
        <f t="shared" si="95"/>
        <v>4.5636393028343214</v>
      </c>
      <c r="DM32" s="619">
        <f t="shared" si="96"/>
        <v>0</v>
      </c>
      <c r="DN32" s="619">
        <f t="shared" si="96"/>
        <v>0</v>
      </c>
      <c r="DO32" s="619">
        <f t="shared" si="96"/>
        <v>0</v>
      </c>
      <c r="DP32" s="619"/>
      <c r="DQ32" s="619">
        <f t="shared" si="97"/>
        <v>2.6241581932873181E-2</v>
      </c>
      <c r="DR32" s="619">
        <f t="shared" si="108"/>
        <v>0</v>
      </c>
      <c r="DS32" s="619">
        <f t="shared" si="108"/>
        <v>0</v>
      </c>
      <c r="DT32" s="619">
        <f t="shared" si="109"/>
        <v>0</v>
      </c>
      <c r="DU32" s="619">
        <f t="shared" si="98"/>
        <v>8.5299283818063287E-3</v>
      </c>
      <c r="DV32" s="619">
        <f t="shared" si="99"/>
        <v>8.5299283818063287E-3</v>
      </c>
      <c r="DW32" s="619">
        <f t="shared" si="110"/>
        <v>-100</v>
      </c>
      <c r="DX32" s="619" t="e">
        <f t="shared" si="110"/>
        <v>#DIV/0!</v>
      </c>
      <c r="DY32" s="619" t="e">
        <f t="shared" si="110"/>
        <v>#DIV/0!</v>
      </c>
      <c r="DZ32" s="619"/>
      <c r="EA32" s="619" t="e">
        <f t="shared" si="100"/>
        <v>#DIV/0!</v>
      </c>
      <c r="EB32" s="619" t="e">
        <f>EB10/EA10*100-100</f>
        <v>#DIV/0!</v>
      </c>
      <c r="EC32" s="619" t="e">
        <f>EC10/EB10*100-100</f>
        <v>#DIV/0!</v>
      </c>
      <c r="ED32" s="619" t="e">
        <f>ED10/EC10*100-100</f>
        <v>#DIV/0!</v>
      </c>
      <c r="EE32" s="619"/>
      <c r="EF32" s="619"/>
      <c r="EG32" s="619" t="e">
        <f t="shared" si="101"/>
        <v>#DIV/0!</v>
      </c>
      <c r="EH32" s="619" t="e">
        <f>EH10/EG10*100-100</f>
        <v>#DIV/0!</v>
      </c>
      <c r="EI32" s="619" t="e">
        <f>EI10/EH10*100-100</f>
        <v>#DIV/0!</v>
      </c>
      <c r="EJ32" s="619" t="e">
        <f>EJ10/EI10*100-100</f>
        <v>#DIV/0!</v>
      </c>
      <c r="EK32" s="619"/>
      <c r="EL32" s="619" t="e">
        <f t="shared" si="102"/>
        <v>#DIV/0!</v>
      </c>
      <c r="EM32" s="619" t="e">
        <f t="shared" si="113"/>
        <v>#DIV/0!</v>
      </c>
      <c r="EN32" s="619" t="e">
        <f t="shared" si="113"/>
        <v>#DIV/0!</v>
      </c>
      <c r="EO32" s="619" t="e">
        <f t="shared" si="113"/>
        <v>#DIV/0!</v>
      </c>
      <c r="EP32" s="619"/>
      <c r="EQ32" s="619" t="e">
        <f t="shared" si="103"/>
        <v>#DIV/0!</v>
      </c>
      <c r="ER32" s="619" t="e">
        <f t="shared" si="104"/>
        <v>#DIV/0!</v>
      </c>
      <c r="ES32" s="619" t="e">
        <f t="shared" si="104"/>
        <v>#DIV/0!</v>
      </c>
      <c r="ET32" s="619" t="e">
        <f t="shared" si="104"/>
        <v>#DIV/0!</v>
      </c>
      <c r="EU32" s="619"/>
      <c r="EV32" s="619" t="e">
        <f t="shared" si="105"/>
        <v>#DIV/0!</v>
      </c>
      <c r="EW32" s="619" t="e">
        <f t="shared" si="106"/>
        <v>#DIV/0!</v>
      </c>
      <c r="EX32" s="674" t="e">
        <f t="shared" si="106"/>
        <v>#DIV/0!</v>
      </c>
    </row>
    <row r="33" spans="1:155" s="177" customFormat="1" ht="13.5" customHeight="1" x14ac:dyDescent="0.2">
      <c r="A33" s="551" t="s">
        <v>130</v>
      </c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74"/>
      <c r="N33" s="574">
        <f t="shared" si="61"/>
        <v>2.9756718460735243</v>
      </c>
      <c r="O33" s="574">
        <f t="shared" si="61"/>
        <v>5.6657625287258817</v>
      </c>
      <c r="P33" s="564"/>
      <c r="Q33" s="574">
        <f t="shared" si="62"/>
        <v>-5.6045210247753996</v>
      </c>
      <c r="R33" s="574">
        <f t="shared" si="63"/>
        <v>6.0975070715847401</v>
      </c>
      <c r="S33" s="574">
        <f t="shared" si="63"/>
        <v>0.44740554121198706</v>
      </c>
      <c r="T33" s="574">
        <f t="shared" si="63"/>
        <v>0.4800986278794106</v>
      </c>
      <c r="U33" s="565"/>
      <c r="V33" s="574">
        <f t="shared" si="64"/>
        <v>0.47599294367937084</v>
      </c>
      <c r="W33" s="574">
        <f t="shared" si="65"/>
        <v>0.89307526260526959</v>
      </c>
      <c r="X33" s="574">
        <f t="shared" si="65"/>
        <v>1.2824565004128541</v>
      </c>
      <c r="Y33" s="574">
        <f t="shared" si="65"/>
        <v>1.3016016752050774</v>
      </c>
      <c r="Z33" s="568"/>
      <c r="AA33" s="574">
        <f t="shared" si="66"/>
        <v>2.9981303754707866</v>
      </c>
      <c r="AB33" s="574">
        <f t="shared" si="67"/>
        <v>-1.4246556620935547</v>
      </c>
      <c r="AC33" s="574">
        <f t="shared" si="67"/>
        <v>4.3233898924732728E-2</v>
      </c>
      <c r="AD33" s="574">
        <f t="shared" si="67"/>
        <v>-1.3403057505415261</v>
      </c>
      <c r="AE33" s="568"/>
      <c r="AF33" s="574">
        <f t="shared" si="68"/>
        <v>-22.828413148418335</v>
      </c>
      <c r="AG33" s="574">
        <f t="shared" si="69"/>
        <v>-1.5234186755315848</v>
      </c>
      <c r="AH33" s="574">
        <f t="shared" si="69"/>
        <v>0.78079410383693482</v>
      </c>
      <c r="AI33" s="574">
        <f t="shared" si="69"/>
        <v>-7.8527780717285722E-2</v>
      </c>
      <c r="AJ33" s="568"/>
      <c r="AK33" s="574">
        <f t="shared" si="70"/>
        <v>-0.85794649345581897</v>
      </c>
      <c r="AL33" s="574">
        <f t="shared" si="71"/>
        <v>0.90325605585457325</v>
      </c>
      <c r="AM33" s="574">
        <f t="shared" si="71"/>
        <v>1.2001513887043069</v>
      </c>
      <c r="AN33" s="574">
        <f t="shared" si="71"/>
        <v>0.45680864188191173</v>
      </c>
      <c r="AO33" s="568"/>
      <c r="AP33" s="574">
        <f t="shared" si="72"/>
        <v>-0.9727229931399739</v>
      </c>
      <c r="AQ33" s="574">
        <f t="shared" si="73"/>
        <v>-0.90950302316692433</v>
      </c>
      <c r="AR33" s="574">
        <f t="shared" si="73"/>
        <v>-4.6081450185954109</v>
      </c>
      <c r="AS33" s="574">
        <f t="shared" si="73"/>
        <v>2.6970050343089191E-2</v>
      </c>
      <c r="AT33" s="640"/>
      <c r="AU33" s="574"/>
      <c r="AV33" s="574"/>
      <c r="AW33" s="574"/>
      <c r="AX33" s="574"/>
      <c r="AY33" s="574"/>
      <c r="AZ33" s="574"/>
      <c r="BA33" s="572">
        <f t="shared" si="74"/>
        <v>2.5490670669582549</v>
      </c>
      <c r="BB33" s="572">
        <f t="shared" si="75"/>
        <v>0.8705005209722616</v>
      </c>
      <c r="BC33" s="572">
        <f t="shared" si="75"/>
        <v>-1.1963705405093394</v>
      </c>
      <c r="BD33" s="572">
        <f t="shared" si="75"/>
        <v>2.5879917184264967</v>
      </c>
      <c r="BE33" s="572"/>
      <c r="BF33" s="572">
        <f t="shared" si="76"/>
        <v>-3.3299697275479212</v>
      </c>
      <c r="BG33" s="572">
        <f t="shared" si="77"/>
        <v>-1.6701461377870541</v>
      </c>
      <c r="BH33" s="572">
        <f t="shared" si="77"/>
        <v>-2.7600849256900428</v>
      </c>
      <c r="BI33" s="572">
        <f t="shared" si="77"/>
        <v>-0.32751091703056012</v>
      </c>
      <c r="BJ33" s="572"/>
      <c r="BK33" s="572">
        <f t="shared" si="78"/>
        <v>2.8477546549835697</v>
      </c>
      <c r="BL33" s="572">
        <f t="shared" si="79"/>
        <v>-0.85197018104365974</v>
      </c>
      <c r="BM33" s="572">
        <f t="shared" si="79"/>
        <v>2.7926960257787403</v>
      </c>
      <c r="BN33" s="572">
        <f t="shared" si="79"/>
        <v>3.4482758620689502</v>
      </c>
      <c r="BO33" s="572"/>
      <c r="BP33" s="572">
        <f t="shared" si="80"/>
        <v>2.0202020202020332</v>
      </c>
      <c r="BQ33" s="572">
        <f t="shared" si="81"/>
        <v>7.7227722772277296</v>
      </c>
      <c r="BR33" s="572">
        <f t="shared" si="81"/>
        <v>6.3419117647058876</v>
      </c>
      <c r="BS33" s="572">
        <f t="shared" si="81"/>
        <v>4.9265341400172913</v>
      </c>
      <c r="BT33" s="572"/>
      <c r="BU33" s="572">
        <f t="shared" si="82"/>
        <v>-0.57660626029655271</v>
      </c>
      <c r="BV33" s="572">
        <f t="shared" si="83"/>
        <v>1.6570008285004212</v>
      </c>
      <c r="BW33" s="572">
        <f t="shared" si="83"/>
        <v>0.89649551752239987</v>
      </c>
      <c r="BX33" s="572">
        <f t="shared" si="83"/>
        <v>-0.1615508885298933</v>
      </c>
      <c r="BY33" s="572"/>
      <c r="BZ33" s="572">
        <f t="shared" si="84"/>
        <v>-5.9870550161812197</v>
      </c>
      <c r="CA33" s="572">
        <f t="shared" si="85"/>
        <v>4.8192771084337283</v>
      </c>
      <c r="CB33" s="572">
        <f t="shared" si="85"/>
        <v>1.0673234811165999</v>
      </c>
      <c r="CC33" s="572">
        <f t="shared" si="85"/>
        <v>5.8164094232331376</v>
      </c>
      <c r="CD33" s="572"/>
      <c r="CE33" s="572">
        <f t="shared" si="86"/>
        <v>4.4910179640718528</v>
      </c>
      <c r="CF33" s="572">
        <f t="shared" si="87"/>
        <v>5.5396370582617038</v>
      </c>
      <c r="CG33" s="572">
        <f t="shared" si="87"/>
        <v>-3.4389140271493202</v>
      </c>
      <c r="CH33" s="572">
        <f t="shared" si="87"/>
        <v>4.0299906279287701</v>
      </c>
      <c r="CI33" s="572"/>
      <c r="CJ33" s="572"/>
      <c r="CK33" s="572"/>
      <c r="CL33" s="572"/>
      <c r="CM33" s="572"/>
      <c r="CN33" s="619" t="e">
        <f>(CN11/#REF!-1)*100</f>
        <v>#REF!</v>
      </c>
      <c r="CO33" s="619">
        <v>3.7303664921465973</v>
      </c>
      <c r="CP33" s="619">
        <f t="shared" si="88"/>
        <v>10.34700315457413</v>
      </c>
      <c r="CQ33" s="619">
        <f t="shared" si="88"/>
        <v>2.7444253859348233</v>
      </c>
      <c r="CR33" s="619"/>
      <c r="CS33" s="619">
        <f t="shared" si="89"/>
        <v>5.2292067880805426</v>
      </c>
      <c r="CT33" s="619">
        <f t="shared" si="90"/>
        <v>7.7366472765732386</v>
      </c>
      <c r="CU33" s="619">
        <f t="shared" si="90"/>
        <v>6.5576989152309473</v>
      </c>
      <c r="CV33" s="619">
        <f t="shared" si="90"/>
        <v>-8.6553963793818074</v>
      </c>
      <c r="CW33" s="619"/>
      <c r="CX33" s="619"/>
      <c r="CY33" s="619"/>
      <c r="CZ33" s="619"/>
      <c r="DA33" s="619"/>
      <c r="DB33" s="619">
        <f t="shared" si="91"/>
        <v>-12.99546142208774</v>
      </c>
      <c r="DC33" s="619">
        <f t="shared" si="92"/>
        <v>2.21990378484902</v>
      </c>
      <c r="DD33" s="619">
        <f t="shared" si="92"/>
        <v>4.7693173055114224</v>
      </c>
      <c r="DE33" s="619">
        <f t="shared" si="92"/>
        <v>-0.87030082528891661</v>
      </c>
      <c r="DF33" s="619"/>
      <c r="DG33" s="619">
        <f t="shared" si="93"/>
        <v>1.3868530060882289</v>
      </c>
      <c r="DH33" s="619">
        <f t="shared" si="94"/>
        <v>1.4566299643583136</v>
      </c>
      <c r="DI33" s="619">
        <f t="shared" si="94"/>
        <v>0.20488586077060944</v>
      </c>
      <c r="DJ33" s="619">
        <f t="shared" si="107"/>
        <v>1.3330975972936754</v>
      </c>
      <c r="DK33" s="619"/>
      <c r="DL33" s="619">
        <f t="shared" si="95"/>
        <v>9.4006816377418367</v>
      </c>
      <c r="DM33" s="619">
        <f t="shared" si="96"/>
        <v>4.384702282588937</v>
      </c>
      <c r="DN33" s="619">
        <f t="shared" si="96"/>
        <v>-4.8810835086672277</v>
      </c>
      <c r="DO33" s="619">
        <f t="shared" si="96"/>
        <v>0.13574660958977081</v>
      </c>
      <c r="DP33" s="619"/>
      <c r="DQ33" s="619">
        <f t="shared" si="97"/>
        <v>1.7088288437905996</v>
      </c>
      <c r="DR33" s="619">
        <f t="shared" si="108"/>
        <v>0.93631431466327797</v>
      </c>
      <c r="DS33" s="619">
        <f t="shared" si="108"/>
        <v>-1.8159446843120763</v>
      </c>
      <c r="DT33" s="619">
        <f t="shared" si="109"/>
        <v>0.90480789532321193</v>
      </c>
      <c r="DU33" s="619">
        <f t="shared" si="98"/>
        <v>2.5800317660444883</v>
      </c>
      <c r="DV33" s="619">
        <f t="shared" si="99"/>
        <v>1.6602022298670915</v>
      </c>
      <c r="DW33" s="619">
        <f t="shared" si="110"/>
        <v>-100</v>
      </c>
      <c r="DX33" s="619" t="e">
        <f t="shared" si="110"/>
        <v>#DIV/0!</v>
      </c>
      <c r="DY33" s="619" t="e">
        <f t="shared" si="110"/>
        <v>#DIV/0!</v>
      </c>
      <c r="DZ33" s="619"/>
      <c r="EA33" s="619" t="e">
        <f t="shared" si="100"/>
        <v>#DIV/0!</v>
      </c>
      <c r="EB33" s="619" t="e">
        <f t="shared" si="111"/>
        <v>#DIV/0!</v>
      </c>
      <c r="EC33" s="619" t="e">
        <f t="shared" si="111"/>
        <v>#DIV/0!</v>
      </c>
      <c r="ED33" s="619" t="e">
        <f t="shared" si="111"/>
        <v>#DIV/0!</v>
      </c>
      <c r="EE33" s="619"/>
      <c r="EF33" s="619"/>
      <c r="EG33" s="619" t="e">
        <f t="shared" si="101"/>
        <v>#DIV/0!</v>
      </c>
      <c r="EH33" s="619" t="e">
        <f t="shared" ref="EH33:EJ37" si="114">EH11/EG11*100-100</f>
        <v>#DIV/0!</v>
      </c>
      <c r="EI33" s="619" t="e">
        <f t="shared" si="114"/>
        <v>#DIV/0!</v>
      </c>
      <c r="EJ33" s="619" t="e">
        <f t="shared" si="114"/>
        <v>#DIV/0!</v>
      </c>
      <c r="EK33" s="619"/>
      <c r="EL33" s="619" t="e">
        <f t="shared" si="102"/>
        <v>#DIV/0!</v>
      </c>
      <c r="EM33" s="619" t="e">
        <f t="shared" si="113"/>
        <v>#DIV/0!</v>
      </c>
      <c r="EN33" s="619" t="e">
        <f t="shared" si="113"/>
        <v>#DIV/0!</v>
      </c>
      <c r="EO33" s="619" t="e">
        <f t="shared" si="113"/>
        <v>#DIV/0!</v>
      </c>
      <c r="EP33" s="619"/>
      <c r="EQ33" s="619" t="e">
        <f t="shared" si="103"/>
        <v>#DIV/0!</v>
      </c>
      <c r="ER33" s="619" t="e">
        <f t="shared" si="104"/>
        <v>#DIV/0!</v>
      </c>
      <c r="ES33" s="619" t="e">
        <f t="shared" si="104"/>
        <v>#DIV/0!</v>
      </c>
      <c r="ET33" s="619" t="e">
        <f t="shared" si="104"/>
        <v>#DIV/0!</v>
      </c>
      <c r="EU33" s="619"/>
      <c r="EV33" s="619" t="e">
        <f t="shared" si="105"/>
        <v>#DIV/0!</v>
      </c>
      <c r="EW33" s="619" t="e">
        <f t="shared" si="106"/>
        <v>#DIV/0!</v>
      </c>
      <c r="EX33" s="674" t="e">
        <f t="shared" si="106"/>
        <v>#DIV/0!</v>
      </c>
    </row>
    <row r="34" spans="1:155" s="177" customFormat="1" ht="13.5" customHeight="1" x14ac:dyDescent="0.2">
      <c r="A34" s="551" t="s">
        <v>131</v>
      </c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74"/>
      <c r="N34" s="574">
        <f t="shared" si="61"/>
        <v>22.791278554921313</v>
      </c>
      <c r="O34" s="574">
        <f t="shared" si="61"/>
        <v>-0.90679573201123409</v>
      </c>
      <c r="P34" s="564"/>
      <c r="Q34" s="574">
        <f t="shared" si="62"/>
        <v>4.2084597160243042</v>
      </c>
      <c r="R34" s="574">
        <f t="shared" si="63"/>
        <v>-0.69635659353934898</v>
      </c>
      <c r="S34" s="574">
        <f t="shared" si="63"/>
        <v>1.0951686105909797</v>
      </c>
      <c r="T34" s="574">
        <f t="shared" si="63"/>
        <v>-0.1554760231078256</v>
      </c>
      <c r="U34" s="565"/>
      <c r="V34" s="574">
        <f t="shared" si="64"/>
        <v>1.8871654548413552</v>
      </c>
      <c r="W34" s="574">
        <f t="shared" si="65"/>
        <v>4.4373006465716847</v>
      </c>
      <c r="X34" s="574">
        <f t="shared" si="65"/>
        <v>-0.42846379334692264</v>
      </c>
      <c r="Y34" s="574">
        <f t="shared" si="65"/>
        <v>1.3447797891757984</v>
      </c>
      <c r="Z34" s="568"/>
      <c r="AA34" s="574">
        <f t="shared" si="66"/>
        <v>1.0047354233150285</v>
      </c>
      <c r="AB34" s="574">
        <f t="shared" si="67"/>
        <v>-8.6181456312750537E-2</v>
      </c>
      <c r="AC34" s="574">
        <f t="shared" si="67"/>
        <v>0.20499994899274565</v>
      </c>
      <c r="AD34" s="574">
        <f t="shared" si="67"/>
        <v>-4.468755567993421E-2</v>
      </c>
      <c r="AE34" s="568"/>
      <c r="AF34" s="574">
        <f t="shared" si="68"/>
        <v>-36.885460829541408</v>
      </c>
      <c r="AG34" s="574">
        <f t="shared" si="69"/>
        <v>1.3113529107968258</v>
      </c>
      <c r="AH34" s="574">
        <f t="shared" si="69"/>
        <v>2.0510757266797075</v>
      </c>
      <c r="AI34" s="574">
        <f t="shared" si="69"/>
        <v>-1.5460419612012832</v>
      </c>
      <c r="AJ34" s="568"/>
      <c r="AK34" s="574">
        <f t="shared" si="70"/>
        <v>-0.28439268013119579</v>
      </c>
      <c r="AL34" s="574">
        <f t="shared" si="71"/>
        <v>1.6423125487364132</v>
      </c>
      <c r="AM34" s="574">
        <f t="shared" si="71"/>
        <v>1.5546526474451428</v>
      </c>
      <c r="AN34" s="574">
        <f t="shared" si="71"/>
        <v>0.52137381734498334</v>
      </c>
      <c r="AO34" s="568"/>
      <c r="AP34" s="574">
        <f t="shared" si="72"/>
        <v>0.15365548608938795</v>
      </c>
      <c r="AQ34" s="574">
        <f t="shared" si="73"/>
        <v>1.1026381061508328</v>
      </c>
      <c r="AR34" s="574">
        <f t="shared" si="73"/>
        <v>0.90410927264232832</v>
      </c>
      <c r="AS34" s="574">
        <f t="shared" si="73"/>
        <v>-0.26391664835270223</v>
      </c>
      <c r="AT34" s="640"/>
      <c r="AU34" s="574"/>
      <c r="AV34" s="574"/>
      <c r="AW34" s="574"/>
      <c r="AX34" s="574"/>
      <c r="AY34" s="574"/>
      <c r="AZ34" s="574"/>
      <c r="BA34" s="572">
        <f t="shared" si="74"/>
        <v>1.4100322378416408</v>
      </c>
      <c r="BB34" s="572">
        <f t="shared" si="75"/>
        <v>1.0962065356434847</v>
      </c>
      <c r="BC34" s="572">
        <f t="shared" si="75"/>
        <v>0.47551140772217337</v>
      </c>
      <c r="BD34" s="572">
        <f t="shared" si="75"/>
        <v>-0.56980056980058258</v>
      </c>
      <c r="BE34" s="572"/>
      <c r="BF34" s="572">
        <f t="shared" si="76"/>
        <v>-2.5787965616045794</v>
      </c>
      <c r="BG34" s="572">
        <f t="shared" si="77"/>
        <v>19.313725490196099</v>
      </c>
      <c r="BH34" s="572">
        <f t="shared" si="77"/>
        <v>-8.1347576006573714</v>
      </c>
      <c r="BI34" s="572">
        <f t="shared" si="77"/>
        <v>-5.1878354203935491</v>
      </c>
      <c r="BJ34" s="572"/>
      <c r="BK34" s="572">
        <f t="shared" si="78"/>
        <v>-0.66037735849056034</v>
      </c>
      <c r="BL34" s="572">
        <f t="shared" si="79"/>
        <v>1.804368471035156</v>
      </c>
      <c r="BM34" s="572">
        <f t="shared" si="79"/>
        <v>2.2388059701492491</v>
      </c>
      <c r="BN34" s="572">
        <f t="shared" si="79"/>
        <v>17.42700729927007</v>
      </c>
      <c r="BO34" s="572"/>
      <c r="BP34" s="572">
        <f t="shared" si="80"/>
        <v>16.006216006216011</v>
      </c>
      <c r="BQ34" s="572">
        <f t="shared" si="81"/>
        <v>0.26791694574681557</v>
      </c>
      <c r="BR34" s="572">
        <f t="shared" si="81"/>
        <v>6.6800267201072572E-2</v>
      </c>
      <c r="BS34" s="572">
        <f t="shared" si="81"/>
        <v>1.8691588785046731</v>
      </c>
      <c r="BT34" s="572"/>
      <c r="BU34" s="572">
        <f t="shared" si="82"/>
        <v>0.98296199213629976</v>
      </c>
      <c r="BV34" s="572">
        <f t="shared" si="83"/>
        <v>-0.77871512005189825</v>
      </c>
      <c r="BW34" s="572">
        <f t="shared" si="83"/>
        <v>1.2426422498365008</v>
      </c>
      <c r="BX34" s="572">
        <f t="shared" si="83"/>
        <v>1.2273901808785403</v>
      </c>
      <c r="BY34" s="572"/>
      <c r="BZ34" s="572">
        <f t="shared" si="84"/>
        <v>0.12763241863433805</v>
      </c>
      <c r="CA34" s="572">
        <f t="shared" si="85"/>
        <v>0.31867431485024245</v>
      </c>
      <c r="CB34" s="572">
        <f t="shared" si="85"/>
        <v>3.4307496823379857</v>
      </c>
      <c r="CC34" s="572">
        <f t="shared" si="85"/>
        <v>0</v>
      </c>
      <c r="CD34" s="572"/>
      <c r="CE34" s="572">
        <f t="shared" si="86"/>
        <v>5.2999999999999936</v>
      </c>
      <c r="CF34" s="572">
        <f t="shared" si="87"/>
        <v>7.882241215574548</v>
      </c>
      <c r="CG34" s="572">
        <f t="shared" si="87"/>
        <v>18.661971830985923</v>
      </c>
      <c r="CH34" s="572">
        <f t="shared" si="87"/>
        <v>9.1988130563797945</v>
      </c>
      <c r="CI34" s="572"/>
      <c r="CJ34" s="572"/>
      <c r="CK34" s="572"/>
      <c r="CL34" s="572"/>
      <c r="CM34" s="572"/>
      <c r="CN34" s="619" t="e">
        <f>(CN12/#REF!-1)*100</f>
        <v>#REF!</v>
      </c>
      <c r="CO34" s="619">
        <v>0.76142131979697325</v>
      </c>
      <c r="CP34" s="619">
        <f t="shared" si="88"/>
        <v>3.0226700251889005</v>
      </c>
      <c r="CQ34" s="619">
        <f t="shared" si="88"/>
        <v>2.9339853300733632</v>
      </c>
      <c r="CR34" s="619"/>
      <c r="CS34" s="619">
        <f t="shared" si="89"/>
        <v>0.4352674319782146</v>
      </c>
      <c r="CT34" s="619">
        <f t="shared" si="90"/>
        <v>0.3193376700177275</v>
      </c>
      <c r="CU34" s="619">
        <f t="shared" si="90"/>
        <v>7.7811836830936176</v>
      </c>
      <c r="CV34" s="619">
        <f t="shared" si="90"/>
        <v>-0.45394880770072144</v>
      </c>
      <c r="CW34" s="619"/>
      <c r="CX34" s="619"/>
      <c r="CY34" s="619"/>
      <c r="CZ34" s="619"/>
      <c r="DA34" s="619"/>
      <c r="DB34" s="619">
        <f t="shared" si="91"/>
        <v>2.1262567990769643</v>
      </c>
      <c r="DC34" s="619">
        <f t="shared" si="92"/>
        <v>0.2636109317839308</v>
      </c>
      <c r="DD34" s="619">
        <f t="shared" si="92"/>
        <v>-2.1846895959650059</v>
      </c>
      <c r="DE34" s="619">
        <f t="shared" si="92"/>
        <v>-1.5392285902420144</v>
      </c>
      <c r="DF34" s="619"/>
      <c r="DG34" s="619">
        <f t="shared" si="93"/>
        <v>8.0126766366521274</v>
      </c>
      <c r="DH34" s="619">
        <f t="shared" si="94"/>
        <v>-2.5848157863694876E-2</v>
      </c>
      <c r="DI34" s="619">
        <f t="shared" si="94"/>
        <v>14.498045390953251</v>
      </c>
      <c r="DJ34" s="619">
        <f t="shared" si="107"/>
        <v>0.30707393988442799</v>
      </c>
      <c r="DK34" s="619"/>
      <c r="DL34" s="619">
        <f t="shared" si="95"/>
        <v>0.18577085972373286</v>
      </c>
      <c r="DM34" s="619">
        <f t="shared" si="96"/>
        <v>0.65555083321466867</v>
      </c>
      <c r="DN34" s="619">
        <f t="shared" si="96"/>
        <v>0.93937254303564366</v>
      </c>
      <c r="DO34" s="619">
        <f t="shared" si="96"/>
        <v>-9.3877648844387096E-3</v>
      </c>
      <c r="DP34" s="619"/>
      <c r="DQ34" s="619">
        <f t="shared" si="97"/>
        <v>0.72709661622829547</v>
      </c>
      <c r="DR34" s="619">
        <f t="shared" si="108"/>
        <v>-0.99665524620854429</v>
      </c>
      <c r="DS34" s="619">
        <f t="shared" si="108"/>
        <v>7.5939814256975602E-2</v>
      </c>
      <c r="DT34" s="619">
        <f t="shared" si="109"/>
        <v>0.37941094731626102</v>
      </c>
      <c r="DU34" s="619">
        <f t="shared" si="98"/>
        <v>-2.8630352872888842</v>
      </c>
      <c r="DV34" s="619">
        <f t="shared" si="99"/>
        <v>-3.2301905380844875</v>
      </c>
      <c r="DW34" s="619">
        <f t="shared" si="110"/>
        <v>-100</v>
      </c>
      <c r="DX34" s="619" t="e">
        <f t="shared" si="110"/>
        <v>#DIV/0!</v>
      </c>
      <c r="DY34" s="619" t="e">
        <f t="shared" si="110"/>
        <v>#DIV/0!</v>
      </c>
      <c r="DZ34" s="619"/>
      <c r="EA34" s="619" t="e">
        <f t="shared" si="100"/>
        <v>#DIV/0!</v>
      </c>
      <c r="EB34" s="619" t="e">
        <f t="shared" si="111"/>
        <v>#DIV/0!</v>
      </c>
      <c r="EC34" s="619" t="e">
        <f t="shared" si="111"/>
        <v>#DIV/0!</v>
      </c>
      <c r="ED34" s="619" t="e">
        <f t="shared" si="111"/>
        <v>#DIV/0!</v>
      </c>
      <c r="EE34" s="619"/>
      <c r="EF34" s="619"/>
      <c r="EG34" s="619" t="e">
        <f t="shared" si="101"/>
        <v>#DIV/0!</v>
      </c>
      <c r="EH34" s="619" t="e">
        <f t="shared" si="114"/>
        <v>#DIV/0!</v>
      </c>
      <c r="EI34" s="619" t="e">
        <f t="shared" si="114"/>
        <v>#DIV/0!</v>
      </c>
      <c r="EJ34" s="619" t="e">
        <f t="shared" si="114"/>
        <v>#DIV/0!</v>
      </c>
      <c r="EK34" s="619"/>
      <c r="EL34" s="619" t="e">
        <f t="shared" si="102"/>
        <v>#DIV/0!</v>
      </c>
      <c r="EM34" s="619" t="e">
        <f t="shared" si="113"/>
        <v>#DIV/0!</v>
      </c>
      <c r="EN34" s="619" t="e">
        <f t="shared" si="113"/>
        <v>#DIV/0!</v>
      </c>
      <c r="EO34" s="619" t="e">
        <f t="shared" si="113"/>
        <v>#DIV/0!</v>
      </c>
      <c r="EP34" s="619"/>
      <c r="EQ34" s="619" t="e">
        <f t="shared" si="103"/>
        <v>#DIV/0!</v>
      </c>
      <c r="ER34" s="619" t="e">
        <f t="shared" si="104"/>
        <v>#DIV/0!</v>
      </c>
      <c r="ES34" s="619" t="e">
        <f t="shared" si="104"/>
        <v>#DIV/0!</v>
      </c>
      <c r="ET34" s="619" t="e">
        <f t="shared" si="104"/>
        <v>#DIV/0!</v>
      </c>
      <c r="EU34" s="619"/>
      <c r="EV34" s="619" t="e">
        <f t="shared" si="105"/>
        <v>#DIV/0!</v>
      </c>
      <c r="EW34" s="619" t="e">
        <f t="shared" si="106"/>
        <v>#DIV/0!</v>
      </c>
      <c r="EX34" s="674" t="e">
        <f t="shared" si="106"/>
        <v>#DIV/0!</v>
      </c>
    </row>
    <row r="35" spans="1:155" s="177" customFormat="1" ht="13.5" customHeight="1" x14ac:dyDescent="0.2">
      <c r="A35" s="551" t="s">
        <v>132</v>
      </c>
      <c r="B35" s="552"/>
      <c r="C35" s="552"/>
      <c r="D35" s="552"/>
      <c r="E35" s="552"/>
      <c r="F35" s="552"/>
      <c r="G35" s="552"/>
      <c r="H35" s="552"/>
      <c r="I35" s="552"/>
      <c r="J35" s="552"/>
      <c r="K35" s="552"/>
      <c r="L35" s="552"/>
      <c r="M35" s="574"/>
      <c r="N35" s="574">
        <f t="shared" si="61"/>
        <v>21.683650800923715</v>
      </c>
      <c r="O35" s="574">
        <f t="shared" si="61"/>
        <v>-2.1481349762917712</v>
      </c>
      <c r="P35" s="564"/>
      <c r="Q35" s="574">
        <f t="shared" si="62"/>
        <v>5.8381083086603391</v>
      </c>
      <c r="R35" s="574">
        <f t="shared" si="63"/>
        <v>-1.7384458518127088</v>
      </c>
      <c r="S35" s="574">
        <f t="shared" si="63"/>
        <v>2.8272609709727448</v>
      </c>
      <c r="T35" s="574">
        <f t="shared" si="63"/>
        <v>1.2510036874453512</v>
      </c>
      <c r="U35" s="565"/>
      <c r="V35" s="574">
        <f t="shared" si="64"/>
        <v>-0.67574167496247117</v>
      </c>
      <c r="W35" s="574">
        <f t="shared" si="65"/>
        <v>1.5462092205842159</v>
      </c>
      <c r="X35" s="574">
        <f t="shared" si="65"/>
        <v>-1.5296052777594382</v>
      </c>
      <c r="Y35" s="574">
        <f t="shared" si="65"/>
        <v>-1.7420053388072398</v>
      </c>
      <c r="Z35" s="568"/>
      <c r="AA35" s="574">
        <f t="shared" si="66"/>
        <v>10.21896754789422</v>
      </c>
      <c r="AB35" s="574">
        <f t="shared" si="67"/>
        <v>-5.0844043148176148</v>
      </c>
      <c r="AC35" s="574">
        <f t="shared" si="67"/>
        <v>6.5465508944048789</v>
      </c>
      <c r="AD35" s="574">
        <f t="shared" si="67"/>
        <v>0.67602164909144058</v>
      </c>
      <c r="AE35" s="568"/>
      <c r="AF35" s="574">
        <f t="shared" si="68"/>
        <v>-28.706436185295857</v>
      </c>
      <c r="AG35" s="574">
        <f t="shared" si="69"/>
        <v>-4.7291737684692858</v>
      </c>
      <c r="AH35" s="574">
        <f t="shared" si="69"/>
        <v>-0.68736591287934523</v>
      </c>
      <c r="AI35" s="574">
        <f t="shared" si="69"/>
        <v>0.278595060737441</v>
      </c>
      <c r="AJ35" s="568"/>
      <c r="AK35" s="574">
        <f t="shared" si="70"/>
        <v>3.7931303012258555</v>
      </c>
      <c r="AL35" s="574">
        <f t="shared" si="71"/>
        <v>-3.6299435364444355</v>
      </c>
      <c r="AM35" s="574">
        <f t="shared" si="71"/>
        <v>-1.4020247837881916</v>
      </c>
      <c r="AN35" s="574">
        <f t="shared" si="71"/>
        <v>-0.80032102515650294</v>
      </c>
      <c r="AO35" s="568"/>
      <c r="AP35" s="574">
        <f t="shared" si="72"/>
        <v>0.78694262470127008</v>
      </c>
      <c r="AQ35" s="574">
        <f t="shared" si="73"/>
        <v>0.18741477540551443</v>
      </c>
      <c r="AR35" s="574">
        <f t="shared" si="73"/>
        <v>0.67121141582169308</v>
      </c>
      <c r="AS35" s="574">
        <f t="shared" si="73"/>
        <v>-0.24296930405365291</v>
      </c>
      <c r="AT35" s="640"/>
      <c r="AU35" s="574"/>
      <c r="AV35" s="574"/>
      <c r="AW35" s="574"/>
      <c r="AX35" s="574"/>
      <c r="AY35" s="574"/>
      <c r="AZ35" s="574"/>
      <c r="BA35" s="572">
        <f t="shared" si="74"/>
        <v>4.8750564494279613</v>
      </c>
      <c r="BB35" s="572">
        <f t="shared" si="75"/>
        <v>-0.60599916845143209</v>
      </c>
      <c r="BC35" s="572">
        <f t="shared" si="75"/>
        <v>0.93975092495317547</v>
      </c>
      <c r="BD35" s="572">
        <f t="shared" si="75"/>
        <v>0.37700282752120007</v>
      </c>
      <c r="BE35" s="572"/>
      <c r="BF35" s="572">
        <f t="shared" si="76"/>
        <v>-1.4084507042253502</v>
      </c>
      <c r="BG35" s="572">
        <f t="shared" si="77"/>
        <v>3.9047619047618998</v>
      </c>
      <c r="BH35" s="572">
        <f t="shared" si="77"/>
        <v>-1.3748854262144783</v>
      </c>
      <c r="BI35" s="572">
        <f t="shared" si="77"/>
        <v>-0.27881040892192566</v>
      </c>
      <c r="BJ35" s="572"/>
      <c r="BK35" s="572">
        <f t="shared" si="78"/>
        <v>8.3876980428704506</v>
      </c>
      <c r="BL35" s="572">
        <f t="shared" si="79"/>
        <v>-0.34393809114358076</v>
      </c>
      <c r="BM35" s="572">
        <f t="shared" si="79"/>
        <v>2.761000862812768</v>
      </c>
      <c r="BN35" s="572">
        <f t="shared" si="79"/>
        <v>1.2594458438287104</v>
      </c>
      <c r="BO35" s="572"/>
      <c r="BP35" s="572">
        <f t="shared" si="80"/>
        <v>3.1509121061360057</v>
      </c>
      <c r="BQ35" s="572">
        <f t="shared" si="81"/>
        <v>1.1254019292604278</v>
      </c>
      <c r="BR35" s="572">
        <f t="shared" si="81"/>
        <v>0.47694753577105509</v>
      </c>
      <c r="BS35" s="572">
        <f t="shared" si="81"/>
        <v>0.2373417721519111</v>
      </c>
      <c r="BT35" s="572"/>
      <c r="BU35" s="572">
        <f t="shared" si="82"/>
        <v>-7.8926598263628911E-2</v>
      </c>
      <c r="BV35" s="572">
        <f t="shared" si="83"/>
        <v>0.15797788309637184</v>
      </c>
      <c r="BW35" s="572">
        <f t="shared" si="83"/>
        <v>1.8927444794952564</v>
      </c>
      <c r="BX35" s="572">
        <f t="shared" si="83"/>
        <v>0.38699690402477227</v>
      </c>
      <c r="BY35" s="572"/>
      <c r="BZ35" s="572">
        <f t="shared" si="84"/>
        <v>3.3153430994603106</v>
      </c>
      <c r="CA35" s="572">
        <f t="shared" si="85"/>
        <v>0.14925373134326847</v>
      </c>
      <c r="CB35" s="572">
        <f t="shared" si="85"/>
        <v>2.9061102831594576</v>
      </c>
      <c r="CC35" s="572">
        <f t="shared" si="85"/>
        <v>3.1052860246198355</v>
      </c>
      <c r="CD35" s="572"/>
      <c r="CE35" s="572">
        <f t="shared" si="86"/>
        <v>2.0750988142292481</v>
      </c>
      <c r="CF35" s="572">
        <f t="shared" si="87"/>
        <v>-0.19361084220717029</v>
      </c>
      <c r="CG35" s="572">
        <f t="shared" si="87"/>
        <v>2.6188166828322146</v>
      </c>
      <c r="CH35" s="572">
        <f t="shared" si="87"/>
        <v>-1.0396975425330801</v>
      </c>
      <c r="CI35" s="572"/>
      <c r="CJ35" s="572"/>
      <c r="CK35" s="572"/>
      <c r="CL35" s="572"/>
      <c r="CM35" s="572"/>
      <c r="CN35" s="619" t="e">
        <f>(CN13/#REF!-1)*100</f>
        <v>#REF!</v>
      </c>
      <c r="CO35" s="619">
        <v>0.75815011372251107</v>
      </c>
      <c r="CP35" s="619">
        <f t="shared" si="88"/>
        <v>7.5244544770503019E-2</v>
      </c>
      <c r="CQ35" s="619">
        <f t="shared" si="88"/>
        <v>1.1278195488721776</v>
      </c>
      <c r="CR35" s="619"/>
      <c r="CS35" s="619">
        <f t="shared" si="89"/>
        <v>8.4730090417203918</v>
      </c>
      <c r="CT35" s="619">
        <f t="shared" si="90"/>
        <v>-0.42480301473105664</v>
      </c>
      <c r="CU35" s="619">
        <f t="shared" si="90"/>
        <v>0.3922108305236538</v>
      </c>
      <c r="CV35" s="619">
        <f t="shared" si="90"/>
        <v>-1.1240575736805813</v>
      </c>
      <c r="CW35" s="619"/>
      <c r="CX35" s="619"/>
      <c r="CY35" s="619"/>
      <c r="CZ35" s="619"/>
      <c r="DA35" s="619"/>
      <c r="DB35" s="619">
        <f t="shared" si="91"/>
        <v>9.0115070012464216E-2</v>
      </c>
      <c r="DC35" s="619">
        <f t="shared" si="92"/>
        <v>3.0750051942655343</v>
      </c>
      <c r="DD35" s="619">
        <f t="shared" si="92"/>
        <v>0.78866290398440508</v>
      </c>
      <c r="DE35" s="619">
        <f t="shared" si="92"/>
        <v>-0.47110616895376101</v>
      </c>
      <c r="DF35" s="619"/>
      <c r="DG35" s="619">
        <f t="shared" si="93"/>
        <v>-5.788031099601465</v>
      </c>
      <c r="DH35" s="619">
        <f t="shared" si="94"/>
        <v>0.10533591635881745</v>
      </c>
      <c r="DI35" s="619">
        <f t="shared" si="94"/>
        <v>1.1249895235493135</v>
      </c>
      <c r="DJ35" s="619">
        <f t="shared" si="107"/>
        <v>-0.96575004920698149</v>
      </c>
      <c r="DK35" s="619"/>
      <c r="DL35" s="619">
        <f t="shared" si="95"/>
        <v>1.4596433717473767</v>
      </c>
      <c r="DM35" s="619">
        <f t="shared" si="96"/>
        <v>1.2535288978587467</v>
      </c>
      <c r="DN35" s="619">
        <f t="shared" si="96"/>
        <v>0.32818160516161488</v>
      </c>
      <c r="DO35" s="619">
        <f t="shared" si="96"/>
        <v>-0.43148137821215071</v>
      </c>
      <c r="DP35" s="619"/>
      <c r="DQ35" s="619">
        <f t="shared" si="97"/>
        <v>0.17374059087513771</v>
      </c>
      <c r="DR35" s="619">
        <f t="shared" si="108"/>
        <v>8.8347740725835955E-2</v>
      </c>
      <c r="DS35" s="619">
        <f t="shared" si="108"/>
        <v>5.1925014358089605E-2</v>
      </c>
      <c r="DT35" s="619">
        <f t="shared" si="109"/>
        <v>-0.53903599204057073</v>
      </c>
      <c r="DU35" s="619">
        <f t="shared" si="98"/>
        <v>0.18215426223422426</v>
      </c>
      <c r="DV35" s="619">
        <f t="shared" si="99"/>
        <v>0.72509879777264974</v>
      </c>
      <c r="DW35" s="619">
        <f t="shared" si="110"/>
        <v>-100</v>
      </c>
      <c r="DX35" s="619" t="e">
        <f t="shared" si="110"/>
        <v>#DIV/0!</v>
      </c>
      <c r="DY35" s="619" t="e">
        <f t="shared" si="110"/>
        <v>#DIV/0!</v>
      </c>
      <c r="DZ35" s="619"/>
      <c r="EA35" s="619" t="e">
        <f t="shared" si="100"/>
        <v>#DIV/0!</v>
      </c>
      <c r="EB35" s="619" t="e">
        <f t="shared" si="111"/>
        <v>#DIV/0!</v>
      </c>
      <c r="EC35" s="619" t="e">
        <f t="shared" si="111"/>
        <v>#DIV/0!</v>
      </c>
      <c r="ED35" s="619" t="e">
        <f t="shared" si="111"/>
        <v>#DIV/0!</v>
      </c>
      <c r="EE35" s="619"/>
      <c r="EF35" s="619"/>
      <c r="EG35" s="619" t="e">
        <f t="shared" si="101"/>
        <v>#DIV/0!</v>
      </c>
      <c r="EH35" s="619" t="e">
        <f t="shared" si="114"/>
        <v>#DIV/0!</v>
      </c>
      <c r="EI35" s="619" t="e">
        <f t="shared" si="114"/>
        <v>#DIV/0!</v>
      </c>
      <c r="EJ35" s="619" t="e">
        <f t="shared" si="114"/>
        <v>#DIV/0!</v>
      </c>
      <c r="EK35" s="619"/>
      <c r="EL35" s="619" t="e">
        <f t="shared" si="102"/>
        <v>#DIV/0!</v>
      </c>
      <c r="EM35" s="619" t="e">
        <f t="shared" si="113"/>
        <v>#DIV/0!</v>
      </c>
      <c r="EN35" s="619" t="e">
        <f t="shared" si="113"/>
        <v>#DIV/0!</v>
      </c>
      <c r="EO35" s="619" t="e">
        <f t="shared" si="113"/>
        <v>#DIV/0!</v>
      </c>
      <c r="EP35" s="619"/>
      <c r="EQ35" s="619" t="e">
        <f t="shared" si="103"/>
        <v>#DIV/0!</v>
      </c>
      <c r="ER35" s="619" t="e">
        <f t="shared" si="104"/>
        <v>#DIV/0!</v>
      </c>
      <c r="ES35" s="619" t="e">
        <f t="shared" si="104"/>
        <v>#DIV/0!</v>
      </c>
      <c r="ET35" s="619" t="e">
        <f t="shared" si="104"/>
        <v>#DIV/0!</v>
      </c>
      <c r="EU35" s="619"/>
      <c r="EV35" s="619" t="e">
        <f t="shared" si="105"/>
        <v>#DIV/0!</v>
      </c>
      <c r="EW35" s="619" t="e">
        <f t="shared" si="106"/>
        <v>#DIV/0!</v>
      </c>
      <c r="EX35" s="674" t="e">
        <f t="shared" si="106"/>
        <v>#DIV/0!</v>
      </c>
    </row>
    <row r="36" spans="1:155" s="177" customFormat="1" ht="13.5" customHeight="1" x14ac:dyDescent="0.2">
      <c r="A36" s="546" t="s">
        <v>144</v>
      </c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74"/>
      <c r="N36" s="574">
        <f t="shared" si="61"/>
        <v>8.7349701175000618</v>
      </c>
      <c r="O36" s="574">
        <f t="shared" si="61"/>
        <v>5.3053868014607763</v>
      </c>
      <c r="P36" s="564"/>
      <c r="Q36" s="574">
        <f t="shared" si="62"/>
        <v>-1.2876516150040707</v>
      </c>
      <c r="R36" s="574">
        <f t="shared" si="63"/>
        <v>4.4877820893208797</v>
      </c>
      <c r="S36" s="574">
        <f t="shared" si="63"/>
        <v>2.8047194466942704</v>
      </c>
      <c r="T36" s="574">
        <f t="shared" si="63"/>
        <v>4.9416953540722286</v>
      </c>
      <c r="U36" s="565"/>
      <c r="V36" s="574">
        <f t="shared" si="64"/>
        <v>7.4001848392372338</v>
      </c>
      <c r="W36" s="574">
        <f t="shared" si="65"/>
        <v>-2.3517526748215278</v>
      </c>
      <c r="X36" s="574">
        <f t="shared" si="65"/>
        <v>2.2535248906442984</v>
      </c>
      <c r="Y36" s="574">
        <f t="shared" si="65"/>
        <v>-6.7635900763573398</v>
      </c>
      <c r="Z36" s="568"/>
      <c r="AA36" s="574">
        <f t="shared" si="66"/>
        <v>3.2752599374741731</v>
      </c>
      <c r="AB36" s="574">
        <f t="shared" si="67"/>
        <v>-7.5429491292596467</v>
      </c>
      <c r="AC36" s="574">
        <f t="shared" si="67"/>
        <v>13.331050247293064</v>
      </c>
      <c r="AD36" s="574">
        <f t="shared" si="67"/>
        <v>2.76348945135374</v>
      </c>
      <c r="AE36" s="568"/>
      <c r="AF36" s="574">
        <f t="shared" si="68"/>
        <v>-34.391543271999971</v>
      </c>
      <c r="AG36" s="574">
        <f t="shared" si="69"/>
        <v>8.9533679646683684</v>
      </c>
      <c r="AH36" s="574">
        <f t="shared" si="69"/>
        <v>3.0684763004495963E-2</v>
      </c>
      <c r="AI36" s="574">
        <f t="shared" si="69"/>
        <v>-3.4388610910334183</v>
      </c>
      <c r="AJ36" s="568"/>
      <c r="AK36" s="574">
        <f t="shared" si="70"/>
        <v>0.77631715071664331</v>
      </c>
      <c r="AL36" s="574">
        <f t="shared" si="71"/>
        <v>1.2265316480244204</v>
      </c>
      <c r="AM36" s="574">
        <f t="shared" si="71"/>
        <v>-5.0579809177367929</v>
      </c>
      <c r="AN36" s="574">
        <f t="shared" si="71"/>
        <v>5.4861074032583224</v>
      </c>
      <c r="AO36" s="568"/>
      <c r="AP36" s="574">
        <f t="shared" si="72"/>
        <v>3.304877721606525</v>
      </c>
      <c r="AQ36" s="574">
        <f t="shared" si="73"/>
        <v>-0.81100022198402621</v>
      </c>
      <c r="AR36" s="574">
        <f t="shared" si="73"/>
        <v>-2.4864403277998881</v>
      </c>
      <c r="AS36" s="574">
        <f t="shared" si="73"/>
        <v>-3.9362735784131964E-2</v>
      </c>
      <c r="AT36" s="640"/>
      <c r="AU36" s="574"/>
      <c r="AV36" s="574"/>
      <c r="AW36" s="574"/>
      <c r="AX36" s="574"/>
      <c r="AY36" s="574"/>
      <c r="AZ36" s="574"/>
      <c r="BA36" s="572">
        <f t="shared" si="74"/>
        <v>3.8889727217977121</v>
      </c>
      <c r="BB36" s="572">
        <f t="shared" si="75"/>
        <v>0.95662504476186072</v>
      </c>
      <c r="BC36" s="572">
        <f t="shared" si="75"/>
        <v>0.9460768778993156</v>
      </c>
      <c r="BD36" s="572">
        <f t="shared" si="75"/>
        <v>3.1423290203327126</v>
      </c>
      <c r="BE36" s="572"/>
      <c r="BF36" s="572">
        <f t="shared" si="76"/>
        <v>2.9569892473118475</v>
      </c>
      <c r="BG36" s="572">
        <f t="shared" si="77"/>
        <v>0.34812880765884291</v>
      </c>
      <c r="BH36" s="572">
        <f t="shared" si="77"/>
        <v>8.6730268863832727E-2</v>
      </c>
      <c r="BI36" s="572">
        <f t="shared" si="77"/>
        <v>1.1265164644713943</v>
      </c>
      <c r="BJ36" s="572"/>
      <c r="BK36" s="572">
        <f t="shared" si="78"/>
        <v>5.1413881748072043</v>
      </c>
      <c r="BL36" s="572">
        <f t="shared" si="79"/>
        <v>-0.89649551752242207</v>
      </c>
      <c r="BM36" s="572">
        <f t="shared" si="79"/>
        <v>-2.7138157894736725</v>
      </c>
      <c r="BN36" s="572">
        <f t="shared" si="79"/>
        <v>-2.6204564666103103</v>
      </c>
      <c r="BO36" s="572"/>
      <c r="BP36" s="572">
        <f t="shared" si="80"/>
        <v>2.34375</v>
      </c>
      <c r="BQ36" s="572">
        <f t="shared" si="81"/>
        <v>3.3078880407124478</v>
      </c>
      <c r="BR36" s="572">
        <f t="shared" si="81"/>
        <v>3.3661740558292408</v>
      </c>
      <c r="BS36" s="572">
        <f t="shared" si="81"/>
        <v>7.9428117553614896E-2</v>
      </c>
      <c r="BT36" s="572"/>
      <c r="BU36" s="572">
        <f t="shared" si="82"/>
        <v>0.39682539682539542</v>
      </c>
      <c r="BV36" s="572">
        <f t="shared" si="83"/>
        <v>1.1067193675889264</v>
      </c>
      <c r="BW36" s="572">
        <f t="shared" si="83"/>
        <v>2.7365129007036693</v>
      </c>
      <c r="BX36" s="572">
        <f t="shared" si="83"/>
        <v>2.130898021308969</v>
      </c>
      <c r="BY36" s="572"/>
      <c r="BZ36" s="572">
        <f t="shared" si="84"/>
        <v>2.5335320417287699</v>
      </c>
      <c r="CA36" s="572">
        <f t="shared" si="85"/>
        <v>3.9244186046511587</v>
      </c>
      <c r="CB36" s="572">
        <f t="shared" si="85"/>
        <v>-2.5874125874125853</v>
      </c>
      <c r="CC36" s="572">
        <f t="shared" si="85"/>
        <v>9.3797559224694904</v>
      </c>
      <c r="CD36" s="572"/>
      <c r="CE36" s="572">
        <f t="shared" si="86"/>
        <v>-2.8890959925442661</v>
      </c>
      <c r="CF36" s="572">
        <f t="shared" si="87"/>
        <v>1.6314779270633517</v>
      </c>
      <c r="CG36" s="572">
        <f t="shared" si="87"/>
        <v>3.1161473087818692</v>
      </c>
      <c r="CH36" s="572">
        <f t="shared" si="87"/>
        <v>-1.0989010989011061</v>
      </c>
      <c r="CI36" s="572"/>
      <c r="CJ36" s="572"/>
      <c r="CK36" s="572"/>
      <c r="CL36" s="572"/>
      <c r="CM36" s="572"/>
      <c r="CN36" s="619" t="e">
        <f>(CN14/#REF!-1)*100</f>
        <v>#REF!</v>
      </c>
      <c r="CO36" s="619">
        <v>2.1218343600273748</v>
      </c>
      <c r="CP36" s="619">
        <f t="shared" si="88"/>
        <v>3.4182305630026999</v>
      </c>
      <c r="CQ36" s="619">
        <f t="shared" si="88"/>
        <v>-1.4257939079715065</v>
      </c>
      <c r="CR36" s="619"/>
      <c r="CS36" s="619">
        <f t="shared" si="89"/>
        <v>7.5293754008937341</v>
      </c>
      <c r="CT36" s="619">
        <f t="shared" si="90"/>
        <v>1.1823245383369985</v>
      </c>
      <c r="CU36" s="619">
        <f t="shared" si="90"/>
        <v>1.2234494221584846</v>
      </c>
      <c r="CV36" s="619">
        <f t="shared" si="90"/>
        <v>-2.5207441266176134</v>
      </c>
      <c r="CW36" s="619"/>
      <c r="CX36" s="619"/>
      <c r="CY36" s="619"/>
      <c r="CZ36" s="619"/>
      <c r="DA36" s="619"/>
      <c r="DB36" s="619">
        <f t="shared" si="91"/>
        <v>4.5165502808348412</v>
      </c>
      <c r="DC36" s="619">
        <f t="shared" si="92"/>
        <v>-1.2438159260122816</v>
      </c>
      <c r="DD36" s="619">
        <f t="shared" si="92"/>
        <v>3.4192336868656525</v>
      </c>
      <c r="DE36" s="619">
        <f t="shared" si="92"/>
        <v>-2.3306945082245956</v>
      </c>
      <c r="DF36" s="619"/>
      <c r="DG36" s="619">
        <f t="shared" si="93"/>
        <v>-1.4647473478315964</v>
      </c>
      <c r="DH36" s="619">
        <f t="shared" si="94"/>
        <v>0.38005526058844108</v>
      </c>
      <c r="DI36" s="619">
        <f t="shared" si="94"/>
        <v>4.1788586192520683</v>
      </c>
      <c r="DJ36" s="619">
        <f t="shared" si="107"/>
        <v>-2.5353109853365585</v>
      </c>
      <c r="DK36" s="619"/>
      <c r="DL36" s="619">
        <f>(DL14/DJ14-1)*100</f>
        <v>4.7274772148653943</v>
      </c>
      <c r="DM36" s="619">
        <f t="shared" si="96"/>
        <v>-3.3966205359618029</v>
      </c>
      <c r="DN36" s="619">
        <f t="shared" si="96"/>
        <v>3.6805550214824567</v>
      </c>
      <c r="DO36" s="619">
        <f t="shared" si="96"/>
        <v>-3.7141565588555636</v>
      </c>
      <c r="DP36" s="619"/>
      <c r="DQ36" s="619">
        <f t="shared" si="97"/>
        <v>3.6659134762073942</v>
      </c>
      <c r="DR36" s="619">
        <f t="shared" si="108"/>
        <v>1.7141675675366397</v>
      </c>
      <c r="DS36" s="619">
        <f t="shared" si="108"/>
        <v>-2.607186607777412</v>
      </c>
      <c r="DT36" s="619">
        <f t="shared" si="109"/>
        <v>0.15018561304045441</v>
      </c>
      <c r="DU36" s="619">
        <f t="shared" si="98"/>
        <v>-5.7819840805439782E-2</v>
      </c>
      <c r="DV36" s="619">
        <f t="shared" si="99"/>
        <v>-0.20769352804755892</v>
      </c>
      <c r="DW36" s="619">
        <f t="shared" si="110"/>
        <v>-100</v>
      </c>
      <c r="DX36" s="619" t="e">
        <f t="shared" si="110"/>
        <v>#DIV/0!</v>
      </c>
      <c r="DY36" s="619" t="e">
        <f t="shared" si="110"/>
        <v>#DIV/0!</v>
      </c>
      <c r="DZ36" s="619"/>
      <c r="EA36" s="619" t="e">
        <f t="shared" si="100"/>
        <v>#DIV/0!</v>
      </c>
      <c r="EB36" s="619" t="e">
        <f t="shared" si="111"/>
        <v>#DIV/0!</v>
      </c>
      <c r="EC36" s="619" t="e">
        <f t="shared" si="111"/>
        <v>#DIV/0!</v>
      </c>
      <c r="ED36" s="619" t="e">
        <f t="shared" si="111"/>
        <v>#DIV/0!</v>
      </c>
      <c r="EE36" s="619"/>
      <c r="EF36" s="619"/>
      <c r="EG36" s="619" t="e">
        <f t="shared" si="101"/>
        <v>#DIV/0!</v>
      </c>
      <c r="EH36" s="619" t="e">
        <f t="shared" si="114"/>
        <v>#DIV/0!</v>
      </c>
      <c r="EI36" s="619" t="e">
        <f t="shared" si="114"/>
        <v>#DIV/0!</v>
      </c>
      <c r="EJ36" s="619" t="e">
        <f t="shared" si="114"/>
        <v>#DIV/0!</v>
      </c>
      <c r="EK36" s="619"/>
      <c r="EL36" s="619" t="e">
        <f t="shared" si="102"/>
        <v>#DIV/0!</v>
      </c>
      <c r="EM36" s="619" t="e">
        <f t="shared" si="113"/>
        <v>#DIV/0!</v>
      </c>
      <c r="EN36" s="619" t="e">
        <f t="shared" si="113"/>
        <v>#DIV/0!</v>
      </c>
      <c r="EO36" s="619" t="e">
        <f t="shared" si="113"/>
        <v>#DIV/0!</v>
      </c>
      <c r="EP36" s="619"/>
      <c r="EQ36" s="619" t="e">
        <f t="shared" si="103"/>
        <v>#DIV/0!</v>
      </c>
      <c r="ER36" s="619" t="e">
        <f t="shared" si="104"/>
        <v>#DIV/0!</v>
      </c>
      <c r="ES36" s="619" t="e">
        <f t="shared" si="104"/>
        <v>#DIV/0!</v>
      </c>
      <c r="ET36" s="619" t="e">
        <f t="shared" si="104"/>
        <v>#DIV/0!</v>
      </c>
      <c r="EU36" s="619"/>
      <c r="EV36" s="619" t="e">
        <f t="shared" si="105"/>
        <v>#DIV/0!</v>
      </c>
      <c r="EW36" s="619" t="e">
        <f t="shared" si="106"/>
        <v>#DIV/0!</v>
      </c>
      <c r="EX36" s="674" t="e">
        <f t="shared" si="106"/>
        <v>#DIV/0!</v>
      </c>
    </row>
    <row r="37" spans="1:155" s="177" customFormat="1" ht="13.5" customHeight="1" x14ac:dyDescent="0.2">
      <c r="A37" s="575" t="s">
        <v>145</v>
      </c>
      <c r="B37" s="552"/>
      <c r="C37" s="552"/>
      <c r="D37" s="552"/>
      <c r="E37" s="552"/>
      <c r="F37" s="552"/>
      <c r="G37" s="552"/>
      <c r="H37" s="552"/>
      <c r="I37" s="552"/>
      <c r="J37" s="552"/>
      <c r="K37" s="552"/>
      <c r="L37" s="552"/>
      <c r="M37" s="574"/>
      <c r="N37" s="574"/>
      <c r="O37" s="574"/>
      <c r="P37" s="564"/>
      <c r="Q37" s="574"/>
      <c r="R37" s="574"/>
      <c r="S37" s="574"/>
      <c r="T37" s="574"/>
      <c r="U37" s="565"/>
      <c r="V37" s="574"/>
      <c r="W37" s="574"/>
      <c r="X37" s="574"/>
      <c r="Y37" s="574"/>
      <c r="Z37" s="568"/>
      <c r="AA37" s="574"/>
      <c r="AB37" s="574"/>
      <c r="AC37" s="574"/>
      <c r="AD37" s="574"/>
      <c r="AE37" s="568"/>
      <c r="AF37" s="574"/>
      <c r="AG37" s="574"/>
      <c r="AH37" s="574"/>
      <c r="AI37" s="574"/>
      <c r="AJ37" s="568"/>
      <c r="AK37" s="574"/>
      <c r="AL37" s="574"/>
      <c r="AM37" s="574"/>
      <c r="AN37" s="574"/>
      <c r="AO37" s="568"/>
      <c r="AP37" s="574"/>
      <c r="AQ37" s="574"/>
      <c r="AR37" s="574"/>
      <c r="AS37" s="574"/>
      <c r="AT37" s="641"/>
      <c r="AU37" s="577"/>
      <c r="AV37" s="577"/>
      <c r="AW37" s="577"/>
      <c r="AX37" s="577"/>
      <c r="AY37" s="577"/>
      <c r="AZ37" s="577"/>
      <c r="BA37" s="581"/>
      <c r="BB37" s="581"/>
      <c r="BC37" s="581"/>
      <c r="BD37" s="581"/>
      <c r="BE37" s="581"/>
      <c r="BF37" s="581"/>
      <c r="BG37" s="581"/>
      <c r="BH37" s="581"/>
      <c r="BI37" s="581"/>
      <c r="BJ37" s="581"/>
      <c r="BK37" s="581"/>
      <c r="BL37" s="581"/>
      <c r="BM37" s="581"/>
      <c r="BN37" s="581"/>
      <c r="BO37" s="581"/>
      <c r="BP37" s="581"/>
      <c r="BQ37" s="581"/>
      <c r="BR37" s="581"/>
      <c r="BS37" s="581"/>
      <c r="BT37" s="581"/>
      <c r="BU37" s="581"/>
      <c r="BV37" s="581"/>
      <c r="BW37" s="581"/>
      <c r="BX37" s="581"/>
      <c r="BY37" s="581"/>
      <c r="BZ37" s="581"/>
      <c r="CA37" s="581"/>
      <c r="CB37" s="581"/>
      <c r="CC37" s="581"/>
      <c r="CD37" s="581"/>
      <c r="CE37" s="581"/>
      <c r="CF37" s="581"/>
      <c r="CG37" s="581"/>
      <c r="CH37" s="581"/>
      <c r="CI37" s="581"/>
      <c r="CJ37" s="581"/>
      <c r="CK37" s="581"/>
      <c r="CL37" s="581"/>
      <c r="CM37" s="581"/>
      <c r="CN37" s="620" t="e">
        <f>(CN15/#REF!-1)*100</f>
        <v>#REF!</v>
      </c>
      <c r="CO37" s="620">
        <v>1.3620071684587787</v>
      </c>
      <c r="CP37" s="620">
        <f t="shared" si="88"/>
        <v>4.9504950495049549</v>
      </c>
      <c r="CQ37" s="620">
        <f t="shared" si="88"/>
        <v>2.6280323450134757</v>
      </c>
      <c r="CR37" s="620"/>
      <c r="CS37" s="620">
        <f t="shared" si="89"/>
        <v>2.6331792439364232</v>
      </c>
      <c r="CT37" s="620">
        <f t="shared" si="90"/>
        <v>2.1783989351278565</v>
      </c>
      <c r="CU37" s="620">
        <f t="shared" si="90"/>
        <v>3.3532173598949555</v>
      </c>
      <c r="CV37" s="620">
        <f t="shared" si="90"/>
        <v>-2.2181885097606102</v>
      </c>
      <c r="CW37" s="620"/>
      <c r="CX37" s="620"/>
      <c r="CY37" s="620"/>
      <c r="CZ37" s="620"/>
      <c r="DA37" s="620"/>
      <c r="DB37" s="620">
        <f t="shared" si="91"/>
        <v>-1.8845680459058767</v>
      </c>
      <c r="DC37" s="620">
        <f t="shared" si="92"/>
        <v>1.7203843891179238</v>
      </c>
      <c r="DD37" s="620">
        <f t="shared" si="92"/>
        <v>2.8285447400771213</v>
      </c>
      <c r="DE37" s="620">
        <f t="shared" si="92"/>
        <v>-3.0410669352724184</v>
      </c>
      <c r="DF37" s="620"/>
      <c r="DG37" s="620">
        <f t="shared" si="93"/>
        <v>3.3730341654381713</v>
      </c>
      <c r="DH37" s="620">
        <f t="shared" si="94"/>
        <v>1.0311053683451199</v>
      </c>
      <c r="DI37" s="620">
        <f t="shared" si="94"/>
        <v>2.7497937123423188</v>
      </c>
      <c r="DJ37" s="620">
        <f t="shared" si="107"/>
        <v>0.58041572544564879</v>
      </c>
      <c r="DK37" s="620"/>
      <c r="DL37" s="620">
        <f t="shared" si="95"/>
        <v>3.5579871634304538</v>
      </c>
      <c r="DM37" s="620">
        <f t="shared" si="96"/>
        <v>3.348425972132163</v>
      </c>
      <c r="DN37" s="620">
        <f t="shared" si="96"/>
        <v>0.34317763236055843</v>
      </c>
      <c r="DO37" s="620">
        <f>(DO15/DN15-1)*100</f>
        <v>-1.4165673556028935</v>
      </c>
      <c r="DP37" s="620"/>
      <c r="DQ37" s="620">
        <f t="shared" si="97"/>
        <v>0.53868224308799562</v>
      </c>
      <c r="DR37" s="620">
        <f>(DR15/DQ15-1)*100</f>
        <v>0.80306355087114145</v>
      </c>
      <c r="DS37" s="620">
        <f t="shared" si="108"/>
        <v>-0.48025673502062327</v>
      </c>
      <c r="DT37" s="620">
        <f t="shared" si="109"/>
        <v>1.4296320350852376</v>
      </c>
      <c r="DU37" s="620">
        <f t="shared" si="98"/>
        <v>1.8472982814596195</v>
      </c>
      <c r="DV37" s="620">
        <f>(DV15/DT15-1)*100</f>
        <v>0.4117793173398443</v>
      </c>
      <c r="DW37" s="620">
        <f>DW15/DV15*100-100</f>
        <v>-100</v>
      </c>
      <c r="DX37" s="620" t="e">
        <f>DX15/DW15*100-100</f>
        <v>#DIV/0!</v>
      </c>
      <c r="DY37" s="620" t="e">
        <f>DY15/DX15*100-100</f>
        <v>#DIV/0!</v>
      </c>
      <c r="DZ37" s="620"/>
      <c r="EA37" s="620" t="e">
        <f t="shared" si="100"/>
        <v>#DIV/0!</v>
      </c>
      <c r="EB37" s="620" t="e">
        <f t="shared" si="111"/>
        <v>#DIV/0!</v>
      </c>
      <c r="EC37" s="620" t="e">
        <f t="shared" si="111"/>
        <v>#DIV/0!</v>
      </c>
      <c r="ED37" s="620" t="e">
        <f t="shared" si="111"/>
        <v>#DIV/0!</v>
      </c>
      <c r="EE37" s="620"/>
      <c r="EF37" s="620"/>
      <c r="EG37" s="620" t="e">
        <f t="shared" si="101"/>
        <v>#DIV/0!</v>
      </c>
      <c r="EH37" s="620" t="e">
        <f t="shared" si="114"/>
        <v>#DIV/0!</v>
      </c>
      <c r="EI37" s="620" t="e">
        <f t="shared" si="114"/>
        <v>#DIV/0!</v>
      </c>
      <c r="EJ37" s="620" t="e">
        <f t="shared" si="114"/>
        <v>#DIV/0!</v>
      </c>
      <c r="EK37" s="620"/>
      <c r="EL37" s="620" t="e">
        <f t="shared" si="102"/>
        <v>#DIV/0!</v>
      </c>
      <c r="EM37" s="620" t="e">
        <f t="shared" si="113"/>
        <v>#DIV/0!</v>
      </c>
      <c r="EN37" s="620" t="e">
        <f t="shared" si="113"/>
        <v>#DIV/0!</v>
      </c>
      <c r="EO37" s="620" t="e">
        <f t="shared" si="113"/>
        <v>#DIV/0!</v>
      </c>
      <c r="EP37" s="620"/>
      <c r="EQ37" s="620" t="e">
        <f t="shared" si="103"/>
        <v>#DIV/0!</v>
      </c>
      <c r="ER37" s="620" t="e">
        <f t="shared" si="104"/>
        <v>#DIV/0!</v>
      </c>
      <c r="ES37" s="620" t="e">
        <f t="shared" si="104"/>
        <v>#DIV/0!</v>
      </c>
      <c r="ET37" s="620" t="e">
        <f t="shared" si="104"/>
        <v>#DIV/0!</v>
      </c>
      <c r="EU37" s="620"/>
      <c r="EV37" s="620" t="e">
        <f t="shared" si="105"/>
        <v>#DIV/0!</v>
      </c>
      <c r="EW37" s="620" t="e">
        <f t="shared" si="106"/>
        <v>#DIV/0!</v>
      </c>
      <c r="EX37" s="675" t="e">
        <f>EX15/EW15*100-100</f>
        <v>#DIV/0!</v>
      </c>
    </row>
    <row r="38" spans="1:155" s="177" customFormat="1" ht="13.5" customHeight="1" x14ac:dyDescent="0.3">
      <c r="A38" s="253" t="s">
        <v>171</v>
      </c>
      <c r="B38" s="552"/>
      <c r="C38" s="552"/>
      <c r="D38" s="552"/>
      <c r="E38" s="552"/>
      <c r="F38" s="552"/>
      <c r="G38" s="552"/>
      <c r="H38" s="552"/>
      <c r="I38" s="552"/>
      <c r="J38" s="552"/>
      <c r="K38" s="552"/>
      <c r="L38" s="552"/>
      <c r="M38" s="574"/>
      <c r="N38" s="574"/>
      <c r="O38" s="574"/>
      <c r="P38" s="564"/>
      <c r="Q38" s="574"/>
      <c r="R38" s="574"/>
      <c r="S38" s="574"/>
      <c r="T38" s="574"/>
      <c r="U38" s="565"/>
      <c r="V38" s="574"/>
      <c r="W38" s="574"/>
      <c r="X38" s="574"/>
      <c r="Y38" s="574"/>
      <c r="Z38" s="568"/>
      <c r="AA38" s="574"/>
      <c r="AB38" s="574"/>
      <c r="AC38" s="574"/>
      <c r="AD38" s="574"/>
      <c r="AE38" s="568"/>
      <c r="AF38" s="574"/>
      <c r="AG38" s="574"/>
      <c r="AH38" s="574"/>
      <c r="AI38" s="574"/>
      <c r="AJ38" s="568"/>
      <c r="AK38" s="574"/>
      <c r="AL38" s="574"/>
      <c r="AM38" s="574"/>
      <c r="AN38" s="574"/>
      <c r="AO38" s="568"/>
      <c r="AP38" s="574"/>
      <c r="AQ38" s="574"/>
      <c r="AR38" s="574"/>
      <c r="AS38" s="574"/>
      <c r="AT38" s="574"/>
      <c r="AU38" s="574"/>
      <c r="AV38" s="574"/>
      <c r="AW38" s="574"/>
      <c r="AX38" s="574"/>
      <c r="AY38" s="574"/>
      <c r="AZ38" s="574"/>
      <c r="BA38" s="572"/>
      <c r="BB38" s="572"/>
      <c r="BC38" s="572"/>
      <c r="BD38" s="572"/>
      <c r="BE38" s="572"/>
      <c r="BF38" s="572"/>
      <c r="BG38" s="572"/>
      <c r="BH38" s="572"/>
      <c r="BI38" s="572"/>
      <c r="BJ38" s="572"/>
      <c r="BK38" s="572"/>
      <c r="BL38" s="572"/>
      <c r="BM38" s="572"/>
      <c r="BN38" s="572"/>
      <c r="BO38" s="572"/>
      <c r="BP38" s="572"/>
      <c r="BQ38" s="572"/>
      <c r="BR38" s="572"/>
      <c r="BS38" s="572"/>
      <c r="BT38" s="572"/>
      <c r="BU38" s="572"/>
      <c r="BV38" s="572"/>
      <c r="BW38" s="572"/>
      <c r="BX38" s="572"/>
      <c r="BY38" s="572"/>
      <c r="BZ38" s="572"/>
      <c r="CA38" s="572"/>
      <c r="CB38" s="572"/>
      <c r="CC38" s="572"/>
      <c r="CD38" s="572"/>
      <c r="CE38" s="572"/>
      <c r="CF38" s="572"/>
      <c r="CG38" s="572"/>
      <c r="CH38" s="572"/>
      <c r="CI38" s="572"/>
      <c r="CJ38" s="572"/>
      <c r="CK38" s="572"/>
      <c r="CL38" s="572"/>
      <c r="CM38" s="572"/>
      <c r="CN38" s="619"/>
      <c r="CO38" s="619"/>
      <c r="CP38" s="619"/>
      <c r="CQ38" s="619"/>
      <c r="CR38" s="619"/>
      <c r="CS38" s="619"/>
      <c r="CT38" s="619"/>
      <c r="CU38" s="619"/>
      <c r="CV38" s="619"/>
      <c r="CW38" s="619"/>
      <c r="CX38" s="619"/>
      <c r="CY38" s="619"/>
      <c r="CZ38" s="619"/>
      <c r="DA38" s="619"/>
      <c r="DB38" s="619"/>
      <c r="DC38" s="619"/>
      <c r="DD38" s="619"/>
      <c r="DE38" s="619"/>
      <c r="DF38" s="619"/>
      <c r="DG38" s="619"/>
      <c r="DH38" s="619"/>
      <c r="DI38" s="619"/>
      <c r="DJ38" s="619"/>
      <c r="DK38" s="619"/>
      <c r="DL38" s="619"/>
      <c r="DM38" s="861"/>
      <c r="DN38" s="862"/>
      <c r="DO38" s="862"/>
      <c r="DP38" s="646"/>
      <c r="DT38" s="619"/>
      <c r="DU38" s="619"/>
      <c r="DV38" s="619"/>
      <c r="DW38" s="619"/>
      <c r="DX38" s="619"/>
      <c r="DY38" s="619"/>
      <c r="DZ38" s="619"/>
      <c r="EA38" s="619"/>
      <c r="EB38" s="858"/>
      <c r="EC38" s="660"/>
      <c r="ED38" s="662"/>
      <c r="EE38" s="856" t="s">
        <v>110</v>
      </c>
      <c r="EF38" s="664"/>
      <c r="EJ38" s="366"/>
      <c r="EK38" s="669"/>
      <c r="EO38" s="366"/>
      <c r="EP38" s="666"/>
      <c r="ET38" s="366"/>
      <c r="EU38" s="676"/>
      <c r="EW38" s="290"/>
      <c r="EX38" s="290"/>
      <c r="EY38" s="855" t="s">
        <v>110</v>
      </c>
    </row>
    <row r="39" spans="1:155" s="177" customFormat="1" ht="14.25" customHeight="1" x14ac:dyDescent="0.2">
      <c r="A39" s="292" t="s">
        <v>35</v>
      </c>
      <c r="B39" s="552"/>
      <c r="C39" s="552"/>
      <c r="D39" s="552"/>
      <c r="E39" s="552"/>
      <c r="F39" s="552"/>
      <c r="G39" s="552"/>
      <c r="H39" s="552"/>
      <c r="I39" s="552"/>
      <c r="J39" s="552"/>
      <c r="K39" s="552"/>
      <c r="L39" s="552"/>
      <c r="M39" s="574"/>
      <c r="N39" s="574"/>
      <c r="O39" s="574"/>
      <c r="P39" s="564"/>
      <c r="Q39" s="574"/>
      <c r="R39" s="574"/>
      <c r="S39" s="574"/>
      <c r="T39" s="574"/>
      <c r="U39" s="565"/>
      <c r="V39" s="574"/>
      <c r="W39" s="574"/>
      <c r="X39" s="574"/>
      <c r="Y39" s="574"/>
      <c r="Z39" s="568"/>
      <c r="AA39" s="574"/>
      <c r="AB39" s="574"/>
      <c r="AC39" s="574"/>
      <c r="AD39" s="574"/>
      <c r="AE39" s="568"/>
      <c r="AF39" s="574"/>
      <c r="AG39" s="574"/>
      <c r="AH39" s="574"/>
      <c r="AI39" s="574"/>
      <c r="AJ39" s="568"/>
      <c r="AK39" s="574"/>
      <c r="AL39" s="574"/>
      <c r="AM39" s="574"/>
      <c r="AN39" s="574"/>
      <c r="AO39" s="568"/>
      <c r="AP39" s="574"/>
      <c r="AQ39" s="574"/>
      <c r="AR39" s="574"/>
      <c r="AS39" s="574"/>
      <c r="AT39" s="574"/>
      <c r="AU39" s="574"/>
      <c r="AV39" s="574"/>
      <c r="AW39" s="574"/>
      <c r="AX39" s="574"/>
      <c r="AY39" s="574"/>
      <c r="AZ39" s="574"/>
      <c r="BA39" s="572"/>
      <c r="BB39" s="572"/>
      <c r="BC39" s="572"/>
      <c r="BD39" s="572"/>
      <c r="BE39" s="572"/>
      <c r="BF39" s="572"/>
      <c r="BG39" s="572"/>
      <c r="BH39" s="572"/>
      <c r="BI39" s="572"/>
      <c r="BJ39" s="572"/>
      <c r="BK39" s="572"/>
      <c r="BL39" s="572"/>
      <c r="BM39" s="572"/>
      <c r="BN39" s="572"/>
      <c r="BO39" s="572"/>
      <c r="BP39" s="572"/>
      <c r="BQ39" s="572"/>
      <c r="BR39" s="572"/>
      <c r="BS39" s="572"/>
      <c r="BT39" s="572"/>
      <c r="BU39" s="572"/>
      <c r="BV39" s="572"/>
      <c r="BW39" s="572"/>
      <c r="BX39" s="572"/>
      <c r="BY39" s="572"/>
      <c r="BZ39" s="572"/>
      <c r="CA39" s="572"/>
      <c r="CB39" s="572"/>
      <c r="CC39" s="572"/>
      <c r="CD39" s="572"/>
      <c r="CE39" s="572"/>
      <c r="CF39" s="572"/>
      <c r="CG39" s="572"/>
      <c r="CH39" s="572"/>
      <c r="CI39" s="572"/>
      <c r="CJ39" s="572"/>
      <c r="CK39" s="572"/>
      <c r="CL39" s="572"/>
      <c r="CM39" s="572"/>
      <c r="CN39" s="619"/>
      <c r="CO39" s="619"/>
      <c r="CP39" s="619"/>
      <c r="CQ39" s="619"/>
      <c r="CR39" s="619"/>
      <c r="CS39" s="619"/>
      <c r="CT39" s="619"/>
      <c r="CU39" s="619"/>
      <c r="CV39" s="619"/>
      <c r="CW39" s="619"/>
      <c r="CX39" s="619"/>
      <c r="CY39" s="619"/>
      <c r="CZ39" s="619"/>
      <c r="DA39" s="619"/>
      <c r="DB39" s="619"/>
      <c r="DC39" s="619"/>
      <c r="DD39" s="619"/>
      <c r="DE39" s="619"/>
      <c r="DF39" s="619"/>
      <c r="DG39" s="619"/>
      <c r="DH39" s="619"/>
      <c r="DI39" s="619"/>
      <c r="DJ39" s="619"/>
      <c r="DK39" s="619"/>
      <c r="DL39" s="619"/>
      <c r="DM39" s="861"/>
      <c r="DN39" s="862"/>
      <c r="DO39" s="862"/>
      <c r="DP39" s="646"/>
      <c r="DT39" s="619"/>
      <c r="DU39" s="619"/>
      <c r="DV39" s="619"/>
      <c r="DW39" s="619"/>
      <c r="DX39" s="619"/>
      <c r="DY39" s="619"/>
      <c r="DZ39" s="619"/>
      <c r="EA39" s="619"/>
      <c r="EB39" s="859"/>
      <c r="EC39" s="661"/>
      <c r="ED39" s="663"/>
      <c r="EE39" s="857"/>
      <c r="EF39" s="665"/>
      <c r="EJ39" s="366"/>
      <c r="EK39" s="670"/>
      <c r="EO39" s="366"/>
      <c r="EP39" s="667"/>
      <c r="EU39" s="677"/>
      <c r="EY39" s="855"/>
    </row>
    <row r="40" spans="1:155" s="177" customFormat="1" ht="15" customHeight="1" x14ac:dyDescent="0.2">
      <c r="A40" s="546"/>
      <c r="B40" s="552"/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74"/>
      <c r="N40" s="574">
        <f>(N15/M15-1)*100</f>
        <v>4.7285917548166134</v>
      </c>
      <c r="O40" s="574">
        <f>(O15/N15-1)*100</f>
        <v>1.278267830861668</v>
      </c>
      <c r="P40" s="564"/>
      <c r="Q40" s="574">
        <f>(Q15/O15-1)*100</f>
        <v>0.69712414234677222</v>
      </c>
      <c r="R40" s="574">
        <f>(R15/Q15-1)*100</f>
        <v>-0.94326013886213422</v>
      </c>
      <c r="S40" s="574">
        <f>(S15/R15-1)*100</f>
        <v>2.4447826647886473</v>
      </c>
      <c r="T40" s="574">
        <f>(T15/S15-1)*100</f>
        <v>1.3383095455630212</v>
      </c>
      <c r="U40" s="565"/>
      <c r="V40" s="574">
        <f>(V15/T15-1)*100</f>
        <v>-0.91307474387571919</v>
      </c>
      <c r="W40" s="574">
        <f>(W15/V15-1)*100</f>
        <v>0.83437085277608958</v>
      </c>
      <c r="X40" s="574">
        <f>(X15/W15-1)*100</f>
        <v>1.667739930938783</v>
      </c>
      <c r="Y40" s="574">
        <f>(Y15/X15-1)*100</f>
        <v>2.1095232588639545</v>
      </c>
      <c r="Z40" s="568"/>
      <c r="AA40" s="574">
        <f>(AA15/Y15-1)*100</f>
        <v>1.086039332124944</v>
      </c>
      <c r="AB40" s="574">
        <f>(AB15/AA15-1)*100</f>
        <v>-0.80845531009717808</v>
      </c>
      <c r="AC40" s="574">
        <f>(AC15/AB15-1)*100</f>
        <v>0.82026693935099981</v>
      </c>
      <c r="AD40" s="574">
        <f>(AD15/AC15-1)*100</f>
        <v>0.51234649644138486</v>
      </c>
      <c r="AE40" s="568"/>
      <c r="AF40" s="574">
        <f>(AF15/AD15-1)*100</f>
        <v>-35.463402846535821</v>
      </c>
      <c r="AG40" s="574">
        <f>(AG15/AF15-1)*100</f>
        <v>-2.808598770767845</v>
      </c>
      <c r="AH40" s="574">
        <f>(AH15/AG15-1)*100</f>
        <v>-2.4208411329192048</v>
      </c>
      <c r="AI40" s="574">
        <f>(AI15/AH15-1)*100</f>
        <v>1.6715097011412494</v>
      </c>
      <c r="AJ40" s="568"/>
      <c r="AK40" s="574">
        <f>(AK15/AI15-1)*100</f>
        <v>1.2445287429681873</v>
      </c>
      <c r="AL40" s="574">
        <f>(AL15/AK15-1)*100</f>
        <v>1.164882535868017</v>
      </c>
      <c r="AM40" s="574">
        <f>(AM15/AL15-1)*100</f>
        <v>2.1491075477960919</v>
      </c>
      <c r="AN40" s="574">
        <f>(AN15/AM15-1)*100</f>
        <v>0.95146276045989797</v>
      </c>
      <c r="AO40" s="568"/>
      <c r="AP40" s="574">
        <f>(AP15/AN15-1)*100</f>
        <v>0.49845795497505119</v>
      </c>
      <c r="AQ40" s="574">
        <f>(AQ15/AP15-1)*100</f>
        <v>0.47779224393054154</v>
      </c>
      <c r="AR40" s="574">
        <f>(AR15/AQ15-1)*100</f>
        <v>0.62397366194959503</v>
      </c>
      <c r="AS40" s="574">
        <f>(AS15/AR15-1)*100</f>
        <v>-0.14096488393189333</v>
      </c>
      <c r="AT40" s="574"/>
      <c r="AU40" s="574"/>
      <c r="AV40" s="574"/>
      <c r="AW40" s="574"/>
      <c r="AX40" s="574"/>
      <c r="AY40" s="574"/>
      <c r="AZ40" s="574"/>
      <c r="BA40" s="572">
        <f>(BA15/AS15-1)*100</f>
        <v>1.1977851478907287</v>
      </c>
      <c r="BB40" s="572">
        <f>(BB15/BA15-1)*100</f>
        <v>6.7566298259635893E-2</v>
      </c>
      <c r="BC40" s="572">
        <f>(BC15/BB15-1)*100</f>
        <v>-0.78872114632047019</v>
      </c>
      <c r="BD40" s="572">
        <f>(BD15/BC15-1)*100</f>
        <v>-2.5490196078431393</v>
      </c>
      <c r="BE40" s="572"/>
      <c r="BF40" s="572">
        <f>(BF15/BD15-1)*100</f>
        <v>1.6096579476861272</v>
      </c>
      <c r="BG40" s="572">
        <f>(BG15/BF15-1)*100</f>
        <v>1.0891089108910901</v>
      </c>
      <c r="BH40" s="572">
        <f>(BH15/BG15-1)*100</f>
        <v>1.3712047012732764</v>
      </c>
      <c r="BI40" s="572">
        <f>(BI15/BH15-1)*100</f>
        <v>-2.6086956521739202</v>
      </c>
      <c r="BJ40" s="572"/>
      <c r="BK40" s="572">
        <f>(BK15/BI15-1)*100</f>
        <v>1.8849206349206504</v>
      </c>
      <c r="BL40" s="572">
        <f>(BL15/BK15-1)*100</f>
        <v>3.2132424537487658</v>
      </c>
      <c r="BM40" s="572">
        <f>(BM15/BL15-1)*100</f>
        <v>3.3018867924528461</v>
      </c>
      <c r="BN40" s="572">
        <f>(BN15/BM15-1)*100</f>
        <v>4.6575342465753344</v>
      </c>
      <c r="BO40" s="572"/>
      <c r="BP40" s="572">
        <f>(BP15/BN15-1)*100</f>
        <v>1.7452006980802626</v>
      </c>
      <c r="BQ40" s="572">
        <f>(BQ15/BP15-1)*100</f>
        <v>1.3722126929674339</v>
      </c>
      <c r="BR40" s="572">
        <f>(BR15/BQ15-1)*100</f>
        <v>-0.4230118443316444</v>
      </c>
      <c r="BS40" s="572">
        <f>(BS15/BR15-1)*100</f>
        <v>2.4638912489379328</v>
      </c>
      <c r="BT40" s="572"/>
      <c r="BU40" s="572">
        <f>(BU15/BS15-1)*100</f>
        <v>2.5704809286899</v>
      </c>
      <c r="BV40" s="572">
        <f>(BV15/BU15-1)*100</f>
        <v>3.1527890056588515</v>
      </c>
      <c r="BW40" s="572">
        <f>(BW15/BV15-1)*100</f>
        <v>5.7210031347962431</v>
      </c>
      <c r="BX40" s="572">
        <f>(BX15/BW15-1)*100</f>
        <v>2.3721275018532273</v>
      </c>
      <c r="BY40" s="572"/>
      <c r="BZ40" s="572">
        <f>(BZ15/BX15-1)*100</f>
        <v>0.28964518464882349</v>
      </c>
      <c r="CA40" s="572">
        <f>(CA15/BZ15-1)*100</f>
        <v>1.1552346570397054</v>
      </c>
      <c r="CB40" s="572">
        <f>(CB15/CA15-1)*100</f>
        <v>6.3526052819414813</v>
      </c>
      <c r="CC40" s="572">
        <f>(CC15/CB15-1)*100</f>
        <v>3.7766442953020007</v>
      </c>
      <c r="CD40" s="572"/>
      <c r="CE40" s="572">
        <f>(CE15/CC15-1)*100</f>
        <v>3.2738095238095122</v>
      </c>
      <c r="CF40" s="572">
        <f>(CF15/CE15-1)*100</f>
        <v>3.4582132564841661</v>
      </c>
      <c r="CG40" s="572">
        <f>(CG15/CF15-1)*100</f>
        <v>3.9925719591457742</v>
      </c>
      <c r="CH40" s="572">
        <f>(CH15/CG15-1)*100</f>
        <v>6.0714285714285721</v>
      </c>
      <c r="CI40" s="572"/>
      <c r="CJ40" s="572"/>
      <c r="CK40" s="572"/>
      <c r="CL40" s="572"/>
      <c r="CM40" s="572"/>
      <c r="DG40" s="156"/>
      <c r="DH40" s="156"/>
      <c r="DI40" s="156"/>
      <c r="DJ40" s="156"/>
      <c r="DL40" s="156"/>
      <c r="DM40" s="156"/>
      <c r="DN40" s="156"/>
      <c r="DO40" s="156"/>
      <c r="DP40" s="156"/>
      <c r="DQ40" s="156"/>
      <c r="DV40" s="156"/>
      <c r="DW40" s="156"/>
      <c r="DX40" s="156"/>
      <c r="DY40" s="156"/>
      <c r="DZ40" s="156"/>
      <c r="EA40" s="156"/>
      <c r="EE40" s="366"/>
      <c r="EF40" s="366"/>
      <c r="EJ40" s="366"/>
      <c r="EK40" s="366"/>
      <c r="EO40" s="366"/>
      <c r="EP40" s="366"/>
      <c r="EU40" s="366"/>
    </row>
    <row r="41" spans="1:155" s="177" customFormat="1" ht="0.75" customHeight="1" x14ac:dyDescent="0.2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6"/>
      <c r="AX41" s="366"/>
      <c r="AY41" s="366"/>
      <c r="AZ41" s="366"/>
      <c r="BA41" s="366"/>
      <c r="BB41" s="366"/>
      <c r="BC41" s="366"/>
      <c r="BD41" s="366"/>
      <c r="BE41" s="366"/>
      <c r="BF41" s="366"/>
      <c r="BG41" s="366"/>
      <c r="BH41" s="366"/>
      <c r="BI41" s="366"/>
      <c r="BJ41" s="366"/>
      <c r="BK41" s="366"/>
      <c r="BL41" s="366"/>
      <c r="BM41" s="366"/>
      <c r="BN41" s="366"/>
      <c r="BO41" s="366"/>
      <c r="BP41" s="366"/>
      <c r="BQ41" s="366"/>
      <c r="BR41" s="366"/>
      <c r="BS41" s="366"/>
      <c r="BT41" s="366"/>
      <c r="BU41" s="366"/>
      <c r="BV41" s="366"/>
      <c r="BW41" s="366"/>
      <c r="BX41" s="366"/>
      <c r="BY41" s="366"/>
      <c r="BZ41" s="366"/>
      <c r="CA41" s="366"/>
      <c r="CB41" s="366"/>
      <c r="CC41" s="544"/>
      <c r="CD41" s="544"/>
      <c r="CE41" s="544"/>
      <c r="CF41" s="366"/>
      <c r="CG41" s="366"/>
      <c r="CH41" s="366"/>
      <c r="CI41" s="366"/>
      <c r="CJ41" s="366"/>
      <c r="CK41" s="366"/>
      <c r="CL41" s="366"/>
      <c r="CM41" s="366"/>
      <c r="CN41" s="366"/>
      <c r="CO41" s="619" t="e">
        <f>(CO16/CN16-1)*100</f>
        <v>#DIV/0!</v>
      </c>
      <c r="CP41" s="366"/>
      <c r="CQ41" s="366"/>
      <c r="CR41" s="366"/>
      <c r="CS41" s="366"/>
      <c r="CT41" s="366"/>
      <c r="CU41" s="366"/>
      <c r="CV41" s="366"/>
      <c r="CW41" s="366"/>
      <c r="CX41" s="366"/>
      <c r="CY41" s="366"/>
      <c r="CZ41" s="366"/>
      <c r="DA41" s="366"/>
      <c r="DB41" s="366"/>
      <c r="DC41" s="366"/>
      <c r="DD41" s="366"/>
      <c r="DE41" s="366"/>
      <c r="DF41" s="366"/>
      <c r="DG41" s="156" t="e">
        <f>(DG16/DD16-1)*100</f>
        <v>#DIV/0!</v>
      </c>
      <c r="DH41" s="156" t="e">
        <f>(DH16/DD16-1)*100</f>
        <v>#DIV/0!</v>
      </c>
      <c r="DI41" s="156" t="e">
        <f>(DI16/DE16-1)*100</f>
        <v>#DIV/0!</v>
      </c>
      <c r="DJ41" s="156" t="e">
        <f>(DJ16/DF16-1)*100</f>
        <v>#DIV/0!</v>
      </c>
      <c r="DK41" s="366"/>
      <c r="DL41" s="156" t="e">
        <f>(DL16/DG16-1)*100</f>
        <v>#DIV/0!</v>
      </c>
      <c r="DM41" s="156"/>
      <c r="DN41" s="156"/>
      <c r="DO41" s="156"/>
      <c r="DP41" s="156"/>
      <c r="DQ41" s="156"/>
      <c r="DT41" s="366"/>
      <c r="DU41" s="366"/>
      <c r="DV41" s="156"/>
      <c r="DW41" s="156"/>
      <c r="DX41" s="156"/>
      <c r="DY41" s="156"/>
      <c r="DZ41" s="156"/>
      <c r="EA41" s="156"/>
      <c r="EE41" s="366"/>
      <c r="EF41" s="366"/>
      <c r="EJ41" s="366"/>
      <c r="EK41" s="366"/>
      <c r="EO41" s="366"/>
      <c r="EP41" s="366"/>
      <c r="EU41" s="366"/>
    </row>
    <row r="42" spans="1:155" ht="12.75" customHeight="1" x14ac:dyDescent="0.2">
      <c r="A42" s="627"/>
      <c r="B42" s="623"/>
      <c r="C42" s="623"/>
      <c r="D42" s="623"/>
      <c r="E42" s="623"/>
      <c r="F42" s="623"/>
      <c r="G42" s="623"/>
      <c r="H42" s="623"/>
      <c r="I42" s="623"/>
      <c r="J42" s="623"/>
      <c r="K42" s="623"/>
      <c r="L42" s="623"/>
      <c r="M42" s="623"/>
      <c r="N42" s="623"/>
      <c r="O42" s="340"/>
      <c r="P42" s="340"/>
      <c r="Q42" s="623"/>
      <c r="R42" s="623"/>
      <c r="S42" s="623"/>
      <c r="T42" s="623"/>
      <c r="U42" s="623"/>
      <c r="V42" s="623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628"/>
      <c r="AS42" s="628"/>
      <c r="AT42" s="628"/>
      <c r="AU42" s="628"/>
      <c r="AV42" s="628"/>
      <c r="AW42" s="628"/>
      <c r="AX42" s="628"/>
      <c r="AY42" s="628"/>
      <c r="AZ42" s="628"/>
      <c r="BA42" s="628"/>
      <c r="BB42" s="628"/>
      <c r="BC42" s="628"/>
      <c r="BD42" s="628"/>
      <c r="BE42" s="628"/>
      <c r="BF42" s="628"/>
      <c r="BG42" s="628"/>
      <c r="BH42" s="628"/>
      <c r="BI42" s="628"/>
      <c r="BJ42" s="628"/>
      <c r="BK42" s="628"/>
      <c r="BL42" s="628"/>
      <c r="BM42" s="628"/>
      <c r="BN42" s="628"/>
      <c r="BO42" s="628"/>
      <c r="BP42" s="628"/>
      <c r="BQ42" s="628"/>
      <c r="BR42" s="628"/>
      <c r="BS42" s="628"/>
      <c r="BT42" s="628"/>
      <c r="BU42" s="623"/>
      <c r="BV42" s="623"/>
      <c r="BW42" s="623"/>
      <c r="BX42" s="623"/>
      <c r="BY42" s="623"/>
      <c r="BZ42" s="623"/>
      <c r="CA42" s="623"/>
      <c r="CB42" s="649"/>
      <c r="CC42" s="584"/>
      <c r="CD42" s="584"/>
      <c r="CE42" s="584"/>
      <c r="CF42" s="649"/>
      <c r="CG42" s="649"/>
      <c r="CH42" s="649"/>
      <c r="CI42" s="649"/>
      <c r="CJ42" s="649"/>
      <c r="CK42" s="157"/>
      <c r="CL42" s="157"/>
      <c r="CM42" s="157"/>
      <c r="CN42" s="157"/>
    </row>
    <row r="43" spans="1:155" x14ac:dyDescent="0.2">
      <c r="A43" s="629"/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340"/>
      <c r="P43" s="340"/>
      <c r="Q43" s="623"/>
      <c r="R43" s="623"/>
      <c r="S43" s="623"/>
      <c r="T43" s="623"/>
      <c r="U43" s="623"/>
      <c r="V43" s="623"/>
      <c r="W43" s="623"/>
      <c r="X43" s="623"/>
      <c r="Y43" s="623"/>
      <c r="Z43" s="623"/>
      <c r="AA43" s="623"/>
      <c r="AB43" s="623"/>
      <c r="AC43" s="623"/>
      <c r="AD43" s="623"/>
      <c r="AE43" s="623"/>
      <c r="AF43" s="623"/>
      <c r="AG43" s="623"/>
      <c r="AH43" s="623"/>
      <c r="AI43" s="628"/>
      <c r="AJ43" s="623"/>
      <c r="AK43" s="628"/>
      <c r="AL43" s="628"/>
      <c r="AM43" s="628"/>
      <c r="AN43" s="628"/>
      <c r="AO43" s="645"/>
      <c r="AP43" s="628"/>
      <c r="AQ43" s="628"/>
      <c r="AR43" s="628"/>
      <c r="AS43" s="628"/>
      <c r="AT43" s="628"/>
      <c r="AU43" s="628"/>
      <c r="AV43" s="628"/>
      <c r="AW43" s="628"/>
      <c r="AX43" s="628"/>
      <c r="AY43" s="628"/>
      <c r="AZ43" s="628"/>
      <c r="BA43" s="628"/>
      <c r="BB43" s="628"/>
      <c r="BC43" s="628"/>
      <c r="BD43" s="628"/>
      <c r="BE43" s="628"/>
      <c r="BF43" s="628"/>
      <c r="BG43" s="628"/>
      <c r="BH43" s="628"/>
      <c r="BI43" s="628"/>
      <c r="BJ43" s="628"/>
      <c r="BK43" s="628"/>
      <c r="BL43" s="628"/>
      <c r="BM43" s="628"/>
      <c r="BN43" s="628"/>
      <c r="BO43" s="628"/>
      <c r="BP43" s="628"/>
      <c r="BQ43" s="628"/>
      <c r="BR43" s="628"/>
      <c r="BS43" s="628"/>
      <c r="BT43" s="628"/>
      <c r="BU43" s="623"/>
      <c r="BV43" s="623"/>
      <c r="BW43" s="623"/>
      <c r="BX43" s="623"/>
      <c r="BY43" s="623"/>
      <c r="BZ43" s="623"/>
      <c r="CA43" s="623"/>
      <c r="CB43" s="649"/>
      <c r="CC43" s="584"/>
      <c r="CD43" s="584"/>
      <c r="CE43" s="584"/>
      <c r="CF43" s="649"/>
      <c r="CG43" s="649"/>
      <c r="CH43" s="649"/>
      <c r="CI43" s="649"/>
      <c r="CJ43" s="649"/>
      <c r="CK43" s="157"/>
      <c r="CL43" s="157"/>
      <c r="CM43" s="157"/>
      <c r="CN43" s="157"/>
    </row>
    <row r="45" spans="1:155" x14ac:dyDescent="0.2">
      <c r="A45" s="235"/>
    </row>
    <row r="46" spans="1:155" x14ac:dyDescent="0.2">
      <c r="A46" s="235"/>
    </row>
    <row r="48" spans="1:155" x14ac:dyDescent="0.2">
      <c r="A48" s="189" t="s">
        <v>106</v>
      </c>
    </row>
    <row r="49" spans="1:1" x14ac:dyDescent="0.2">
      <c r="A49" s="190">
        <f ca="1">NOW()</f>
        <v>45834.501835300929</v>
      </c>
    </row>
    <row r="52" spans="1:1" x14ac:dyDescent="0.2">
      <c r="A52"/>
    </row>
  </sheetData>
  <mergeCells count="28">
    <mergeCell ref="EY38:EY39"/>
    <mergeCell ref="EE38:EE39"/>
    <mergeCell ref="DV3:DY3"/>
    <mergeCell ref="EB38:EB39"/>
    <mergeCell ref="AT16:DI16"/>
    <mergeCell ref="AU27:DI27"/>
    <mergeCell ref="DM38:DM39"/>
    <mergeCell ref="DN38:DN39"/>
    <mergeCell ref="DO38:DO39"/>
    <mergeCell ref="BU3:BX3"/>
    <mergeCell ref="DC3:DE3"/>
    <mergeCell ref="DQ3:DT3"/>
    <mergeCell ref="BA3:BD3"/>
    <mergeCell ref="EV3:EX3"/>
    <mergeCell ref="EA3:ED3"/>
    <mergeCell ref="EG3:EJ3"/>
    <mergeCell ref="AP3:AS3"/>
    <mergeCell ref="EQ3:ET3"/>
    <mergeCell ref="EL3:EO3"/>
    <mergeCell ref="A1:EX1"/>
    <mergeCell ref="BF3:BI3"/>
    <mergeCell ref="BK3:BN3"/>
    <mergeCell ref="DL3:DO3"/>
    <mergeCell ref="BP3:BS3"/>
    <mergeCell ref="BZ3:CC3"/>
    <mergeCell ref="CE3:CH3"/>
    <mergeCell ref="CS3:CV3"/>
    <mergeCell ref="DG3:DJ3"/>
  </mergeCells>
  <printOptions gridLinesSet="0"/>
  <pageMargins left="0.98425196850393704" right="0.59055118110236227" top="0.59055118110236227" bottom="1.6929133858267718" header="0.43307086614173229" footer="0.51181102362204722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10" transitionEvaluation="1" codeName="Sheet3"/>
  <dimension ref="A1:AX110"/>
  <sheetViews>
    <sheetView showGridLines="0" showOutlineSymbol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8" sqref="C18"/>
    </sheetView>
  </sheetViews>
  <sheetFormatPr defaultColWidth="14" defaultRowHeight="10.199999999999999" outlineLevelRow="1" x14ac:dyDescent="0.2"/>
  <cols>
    <col min="1" max="1" width="8" style="12" customWidth="1"/>
    <col min="2" max="2" width="5.33203125" style="12" customWidth="1"/>
    <col min="3" max="4" width="12" style="12" customWidth="1"/>
    <col min="5" max="6" width="13" style="12" customWidth="1"/>
    <col min="7" max="9" width="12" style="12" customWidth="1"/>
    <col min="10" max="10" width="14" style="12" customWidth="1"/>
    <col min="11" max="11" width="14" style="12"/>
    <col min="12" max="12" width="13" style="12" customWidth="1"/>
    <col min="13" max="16384" width="14" style="12"/>
  </cols>
  <sheetData>
    <row r="1" spans="1:50" ht="20.100000000000001" customHeight="1" x14ac:dyDescent="0.2">
      <c r="A1"/>
      <c r="J1" s="289" t="s">
        <v>36</v>
      </c>
    </row>
    <row r="2" spans="1:50" ht="15" customHeight="1" x14ac:dyDescent="0.25">
      <c r="A2" s="13" t="s">
        <v>37</v>
      </c>
      <c r="B2" s="13"/>
      <c r="C2" s="14"/>
      <c r="D2" s="14"/>
      <c r="E2" s="14"/>
      <c r="F2" s="14"/>
      <c r="G2" s="14"/>
      <c r="H2" s="14"/>
      <c r="I2" s="14"/>
      <c r="J2" s="14"/>
    </row>
    <row r="3" spans="1:50" ht="18" customHeight="1" x14ac:dyDescent="0.2">
      <c r="A3" s="15" t="s">
        <v>38</v>
      </c>
      <c r="B3" s="15"/>
      <c r="C3" s="16"/>
      <c r="D3" s="16"/>
      <c r="E3" s="16"/>
      <c r="F3" s="16"/>
      <c r="G3" s="16"/>
      <c r="H3" s="16"/>
      <c r="I3" s="16"/>
      <c r="J3" s="16"/>
    </row>
    <row r="4" spans="1:50" ht="15" customHeight="1" x14ac:dyDescent="0.2">
      <c r="A4" s="15"/>
      <c r="B4" s="15"/>
      <c r="C4" s="16"/>
      <c r="D4" s="16"/>
      <c r="E4" s="16"/>
      <c r="F4" s="16"/>
      <c r="G4" s="16"/>
      <c r="H4" s="16"/>
      <c r="I4" s="16"/>
      <c r="J4" s="16"/>
    </row>
    <row r="5" spans="1:50" ht="15" customHeight="1" x14ac:dyDescent="0.2">
      <c r="A5" s="17" t="s">
        <v>6</v>
      </c>
      <c r="B5" s="18"/>
      <c r="C5" s="19" t="s">
        <v>39</v>
      </c>
      <c r="D5" s="19" t="s">
        <v>40</v>
      </c>
      <c r="E5" s="19" t="s">
        <v>41</v>
      </c>
      <c r="F5" s="19" t="s">
        <v>42</v>
      </c>
      <c r="G5" s="19" t="s">
        <v>43</v>
      </c>
      <c r="H5" s="19" t="s">
        <v>44</v>
      </c>
      <c r="I5" s="19" t="s">
        <v>45</v>
      </c>
      <c r="J5" s="20" t="s">
        <v>46</v>
      </c>
    </row>
    <row r="6" spans="1:50" ht="15" customHeight="1" x14ac:dyDescent="0.2">
      <c r="A6" s="21"/>
      <c r="B6" s="22"/>
      <c r="C6" s="23"/>
      <c r="D6" s="24" t="s">
        <v>47</v>
      </c>
      <c r="E6" s="23"/>
      <c r="F6" s="23"/>
      <c r="G6" s="23"/>
      <c r="H6" s="24" t="s">
        <v>48</v>
      </c>
      <c r="I6" s="23"/>
      <c r="J6" s="25"/>
    </row>
    <row r="7" spans="1:50" ht="15" hidden="1" customHeight="1" outlineLevel="1" x14ac:dyDescent="0.2">
      <c r="A7" s="26" t="s">
        <v>15</v>
      </c>
      <c r="B7" s="27"/>
      <c r="C7" s="258">
        <v>55.667893905916635</v>
      </c>
      <c r="D7" s="256">
        <v>42.078546195814745</v>
      </c>
      <c r="E7" s="256">
        <v>134.51182696423797</v>
      </c>
      <c r="F7" s="256">
        <v>38.183372382972877</v>
      </c>
      <c r="G7" s="256">
        <v>68.583952944524157</v>
      </c>
      <c r="H7" s="256">
        <v>27.276633255048075</v>
      </c>
      <c r="I7" s="256">
        <v>74.443713435428265</v>
      </c>
      <c r="J7" s="260">
        <v>103.81312155533978</v>
      </c>
    </row>
    <row r="8" spans="1:50" ht="15" hidden="1" customHeight="1" outlineLevel="1" x14ac:dyDescent="0.2">
      <c r="A8" s="29" t="s">
        <v>16</v>
      </c>
      <c r="B8" s="30"/>
      <c r="C8" s="257">
        <v>96.854681094543167</v>
      </c>
      <c r="D8" s="257">
        <v>71.229577704925887</v>
      </c>
      <c r="E8" s="257">
        <v>122.3280405257694</v>
      </c>
      <c r="F8" s="257">
        <v>98.294453474827392</v>
      </c>
      <c r="G8" s="257">
        <v>115.45565236879393</v>
      </c>
      <c r="H8" s="257">
        <v>99.771429279196298</v>
      </c>
      <c r="I8" s="257">
        <v>103.77713379017388</v>
      </c>
      <c r="J8" s="260">
        <v>161.5083593685444</v>
      </c>
      <c r="L8" s="31"/>
    </row>
    <row r="9" spans="1:50" s="33" customFormat="1" ht="15" hidden="1" customHeight="1" outlineLevel="1" x14ac:dyDescent="0.2">
      <c r="A9" s="29" t="s">
        <v>17</v>
      </c>
      <c r="B9" s="30"/>
      <c r="C9" s="255">
        <v>88.880625605041914</v>
      </c>
      <c r="D9" s="255">
        <v>81.277453442252252</v>
      </c>
      <c r="E9" s="255">
        <v>96.473441568807687</v>
      </c>
      <c r="F9" s="255">
        <v>65.204645209295748</v>
      </c>
      <c r="G9" s="255">
        <v>111.21522376859375</v>
      </c>
      <c r="H9" s="255">
        <v>81.736963405502891</v>
      </c>
      <c r="I9" s="255">
        <v>94.5069591985459</v>
      </c>
      <c r="J9" s="259">
        <v>95.200700789391092</v>
      </c>
      <c r="L9" s="32"/>
    </row>
    <row r="10" spans="1:50" s="33" customFormat="1" ht="15.75" hidden="1" customHeight="1" outlineLevel="1" collapsed="1" x14ac:dyDescent="0.2">
      <c r="A10" s="29" t="s">
        <v>18</v>
      </c>
      <c r="B10" s="30"/>
      <c r="C10" s="387">
        <f>AVERAGEA(C41:C45)</f>
        <v>100.00000000000001</v>
      </c>
      <c r="D10" s="387">
        <f>AVERAGEA(D41:D45)</f>
        <v>100</v>
      </c>
      <c r="E10" s="387">
        <f t="shared" ref="E10:J10" si="0">AVERAGEA(E41:E45)</f>
        <v>100</v>
      </c>
      <c r="F10" s="387">
        <f t="shared" si="0"/>
        <v>100</v>
      </c>
      <c r="G10" s="387">
        <f t="shared" si="0"/>
        <v>100</v>
      </c>
      <c r="H10" s="387">
        <f t="shared" si="0"/>
        <v>99.999999999999986</v>
      </c>
      <c r="I10" s="387">
        <f t="shared" si="0"/>
        <v>100</v>
      </c>
      <c r="J10" s="388">
        <f t="shared" si="0"/>
        <v>100</v>
      </c>
      <c r="L10" s="32"/>
    </row>
    <row r="11" spans="1:50" s="277" customFormat="1" ht="12.75" hidden="1" customHeight="1" outlineLevel="1" x14ac:dyDescent="0.2">
      <c r="A11" s="433" t="s">
        <v>19</v>
      </c>
      <c r="B11" s="434"/>
      <c r="C11" s="435">
        <f t="shared" ref="C11:J11" si="1">AVERAGEA(C46:C50)</f>
        <v>89.681178539726062</v>
      </c>
      <c r="D11" s="435">
        <f t="shared" si="1"/>
        <v>68.653095050790284</v>
      </c>
      <c r="E11" s="435">
        <f t="shared" si="1"/>
        <v>96.37702306011451</v>
      </c>
      <c r="F11" s="435">
        <f t="shared" si="1"/>
        <v>67.780947023885986</v>
      </c>
      <c r="G11" s="435">
        <f t="shared" si="1"/>
        <v>95.677002456421363</v>
      </c>
      <c r="H11" s="435">
        <f t="shared" si="1"/>
        <v>113.13652305202503</v>
      </c>
      <c r="I11" s="435">
        <f t="shared" si="1"/>
        <v>104.12593004134393</v>
      </c>
      <c r="J11" s="436">
        <f t="shared" si="1"/>
        <v>156.6324949048045</v>
      </c>
      <c r="L11" s="437"/>
    </row>
    <row r="12" spans="1:50" s="277" customFormat="1" ht="12.75" hidden="1" customHeight="1" outlineLevel="1" x14ac:dyDescent="0.2">
      <c r="A12" s="433" t="s">
        <v>20</v>
      </c>
      <c r="B12" s="434"/>
      <c r="C12" s="435">
        <f t="shared" ref="C12:J12" si="2">AVERAGEA(C51:C55)</f>
        <v>121.30109353711909</v>
      </c>
      <c r="D12" s="435">
        <f t="shared" si="2"/>
        <v>118.89244569509086</v>
      </c>
      <c r="E12" s="435">
        <f t="shared" si="2"/>
        <v>151.1866202732561</v>
      </c>
      <c r="F12" s="435">
        <f t="shared" si="2"/>
        <v>66.524641134550734</v>
      </c>
      <c r="G12" s="435">
        <f t="shared" si="2"/>
        <v>151.90196688270234</v>
      </c>
      <c r="H12" s="435">
        <f t="shared" si="2"/>
        <v>78.320244551924972</v>
      </c>
      <c r="I12" s="435">
        <f t="shared" si="2"/>
        <v>154.22891266745336</v>
      </c>
      <c r="J12" s="436">
        <f t="shared" si="2"/>
        <v>111.23794503254857</v>
      </c>
      <c r="L12" s="437"/>
    </row>
    <row r="13" spans="1:50" s="33" customFormat="1" ht="15" customHeight="1" collapsed="1" x14ac:dyDescent="0.2">
      <c r="A13" s="29" t="s">
        <v>21</v>
      </c>
      <c r="B13" s="30"/>
      <c r="C13" s="389">
        <f>AVERAGEA(C56:C60)</f>
        <v>164.2063043257609</v>
      </c>
      <c r="D13" s="389">
        <f>AVERAGEA(D56:D60)</f>
        <v>151.22518814534754</v>
      </c>
      <c r="E13" s="389">
        <f t="shared" ref="E13:J13" si="3">AVERAGEA(E56:E60)</f>
        <v>136.79076090548494</v>
      </c>
      <c r="F13" s="389">
        <f t="shared" si="3"/>
        <v>63.551095973531872</v>
      </c>
      <c r="G13" s="389">
        <f t="shared" si="3"/>
        <v>173.81843729405861</v>
      </c>
      <c r="H13" s="389">
        <f t="shared" si="3"/>
        <v>143.95118200738685</v>
      </c>
      <c r="I13" s="389">
        <f t="shared" si="3"/>
        <v>264.90155320102144</v>
      </c>
      <c r="J13" s="390">
        <f t="shared" si="3"/>
        <v>195.39180345799824</v>
      </c>
      <c r="L13" s="34"/>
    </row>
    <row r="14" spans="1:50" s="277" customFormat="1" ht="12.75" customHeight="1" x14ac:dyDescent="0.2">
      <c r="A14" s="36" t="s">
        <v>22</v>
      </c>
      <c r="B14" s="37"/>
      <c r="C14" s="391">
        <f>AVERAGEA(C61:C65)</f>
        <v>106.93135540886968</v>
      </c>
      <c r="D14" s="391">
        <f>AVERAGEA(D61:D65)</f>
        <v>127.13572263965828</v>
      </c>
      <c r="E14" s="391">
        <f>AVERAGEA(E61:E65)</f>
        <v>266.83959636724438</v>
      </c>
      <c r="F14" s="391">
        <f>AVERAGEA(F61:F65)</f>
        <v>45.244816880074055</v>
      </c>
      <c r="G14" s="391">
        <f>SUM(G61:G65)/4</f>
        <v>104.90983955647395</v>
      </c>
      <c r="H14" s="391">
        <f>AVERAGEA(H61:H65)</f>
        <v>87.12743964220715</v>
      </c>
      <c r="I14" s="391">
        <f>AVERAGEA(I61:I65)</f>
        <v>123.41177504658816</v>
      </c>
      <c r="J14" s="392">
        <f>AVERAGEA(J61:J65)</f>
        <v>48.924145948752368</v>
      </c>
      <c r="L14" s="38"/>
    </row>
    <row r="15" spans="1:50" s="277" customFormat="1" ht="12.75" customHeight="1" x14ac:dyDescent="0.2">
      <c r="A15" s="36" t="s">
        <v>23</v>
      </c>
      <c r="B15" s="37"/>
      <c r="C15" s="391">
        <f t="shared" ref="C15:J15" si="4">AVERAGEA(C66:C70)</f>
        <v>113.78432883601572</v>
      </c>
      <c r="D15" s="391">
        <f t="shared" si="4"/>
        <v>129.84252735435933</v>
      </c>
      <c r="E15" s="391">
        <f t="shared" si="4"/>
        <v>406.70666098611753</v>
      </c>
      <c r="F15" s="391">
        <f t="shared" si="4"/>
        <v>29.272879471700453</v>
      </c>
      <c r="G15" s="391">
        <f t="shared" si="4"/>
        <v>145.25695946951657</v>
      </c>
      <c r="H15" s="391">
        <f t="shared" si="4"/>
        <v>54.686674750442236</v>
      </c>
      <c r="I15" s="391">
        <f t="shared" si="4"/>
        <v>146.61203558607284</v>
      </c>
      <c r="J15" s="392">
        <f t="shared" si="4"/>
        <v>16.563170632568458</v>
      </c>
      <c r="L15" s="38"/>
    </row>
    <row r="16" spans="1:50" s="277" customFormat="1" ht="12.75" customHeight="1" x14ac:dyDescent="0.2">
      <c r="A16" s="359" t="s">
        <v>24</v>
      </c>
      <c r="B16" s="37"/>
      <c r="C16" s="391">
        <f t="shared" ref="C16:J16" si="5">AVERAGEA(C71:C75)</f>
        <v>88.009100145238108</v>
      </c>
      <c r="D16" s="391">
        <f t="shared" si="5"/>
        <v>85.561615918771466</v>
      </c>
      <c r="E16" s="391">
        <f t="shared" si="5"/>
        <v>226.83795081308793</v>
      </c>
      <c r="F16" s="391">
        <f t="shared" si="5"/>
        <v>53.977526895531511</v>
      </c>
      <c r="G16" s="391">
        <f t="shared" si="5"/>
        <v>78.203657171644863</v>
      </c>
      <c r="H16" s="391">
        <f t="shared" si="5"/>
        <v>106.2895696113419</v>
      </c>
      <c r="I16" s="391">
        <f t="shared" si="5"/>
        <v>158.97890430421461</v>
      </c>
      <c r="J16" s="392">
        <f t="shared" si="5"/>
        <v>16.206423361429547</v>
      </c>
      <c r="L16" s="38"/>
      <c r="T16" s="360"/>
      <c r="AD16" s="360"/>
      <c r="AX16" s="360"/>
    </row>
    <row r="17" spans="1:50" s="277" customFormat="1" ht="12.75" customHeight="1" x14ac:dyDescent="0.2">
      <c r="A17" s="359" t="s">
        <v>25</v>
      </c>
      <c r="B17" s="37"/>
      <c r="C17" s="391">
        <f t="shared" ref="C17:J17" si="6">AVERAGEA(C76:C80)</f>
        <v>111.24489988489255</v>
      </c>
      <c r="D17" s="391">
        <f t="shared" si="6"/>
        <v>140.18552370112906</v>
      </c>
      <c r="E17" s="391">
        <f t="shared" si="6"/>
        <v>244.42755418806618</v>
      </c>
      <c r="F17" s="391">
        <f t="shared" si="6"/>
        <v>65.830915798937909</v>
      </c>
      <c r="G17" s="391">
        <f t="shared" si="6"/>
        <v>99.468604374633628</v>
      </c>
      <c r="H17" s="391">
        <f t="shared" si="6"/>
        <v>67.970247309469372</v>
      </c>
      <c r="I17" s="391">
        <f t="shared" si="6"/>
        <v>156.31962396254843</v>
      </c>
      <c r="J17" s="392">
        <f t="shared" si="6"/>
        <v>5.2039057354204807</v>
      </c>
      <c r="L17" s="38"/>
      <c r="T17" s="360"/>
      <c r="AD17" s="360"/>
      <c r="AX17" s="360"/>
    </row>
    <row r="18" spans="1:50" s="277" customFormat="1" ht="12.75" customHeight="1" x14ac:dyDescent="0.2">
      <c r="A18" s="359" t="s">
        <v>26</v>
      </c>
      <c r="B18" s="37"/>
      <c r="C18" s="391">
        <f>AVERAGEA(C81:C85)</f>
        <v>107.64037941915754</v>
      </c>
      <c r="D18" s="391">
        <f t="shared" ref="D18:J18" si="7">AVERAGEA(D81:D85)</f>
        <v>113.4423092598021</v>
      </c>
      <c r="E18" s="391">
        <f t="shared" si="7"/>
        <v>245.58237999416355</v>
      </c>
      <c r="F18" s="391">
        <f t="shared" si="7"/>
        <v>61.491773001271142</v>
      </c>
      <c r="G18" s="391">
        <f t="shared" si="7"/>
        <v>115.57449984223869</v>
      </c>
      <c r="H18" s="391">
        <f t="shared" si="7"/>
        <v>93.105067797513726</v>
      </c>
      <c r="I18" s="391">
        <f t="shared" si="7"/>
        <v>175.28347102613333</v>
      </c>
      <c r="J18" s="392">
        <f t="shared" si="7"/>
        <v>4.0517777897717799</v>
      </c>
      <c r="L18" s="38"/>
      <c r="T18" s="360"/>
      <c r="AD18" s="360"/>
      <c r="AX18" s="360"/>
    </row>
    <row r="19" spans="1:50" x14ac:dyDescent="0.2">
      <c r="A19" s="359" t="s">
        <v>111</v>
      </c>
      <c r="B19" s="37"/>
      <c r="C19" s="391">
        <f>AVERAGEA(C86:C90)</f>
        <v>126.19731472247788</v>
      </c>
      <c r="D19" s="391">
        <f t="shared" ref="D19:J19" si="8">AVERAGEA(D86:D90)</f>
        <v>127.87255981865462</v>
      </c>
      <c r="E19" s="391">
        <f t="shared" si="8"/>
        <v>394.87459238840307</v>
      </c>
      <c r="F19" s="391">
        <f t="shared" si="8"/>
        <v>60.959336702379744</v>
      </c>
      <c r="G19" s="391">
        <f t="shared" si="8"/>
        <v>127.11975912918012</v>
      </c>
      <c r="H19" s="391">
        <f t="shared" si="8"/>
        <v>74.640408260515059</v>
      </c>
      <c r="I19" s="391">
        <f t="shared" si="8"/>
        <v>258.99212150113249</v>
      </c>
      <c r="J19" s="392">
        <f t="shared" si="8"/>
        <v>9.0288726948628657</v>
      </c>
      <c r="L19" s="38"/>
      <c r="T19" s="39"/>
      <c r="AD19" s="39"/>
      <c r="AX19" s="39"/>
    </row>
    <row r="20" spans="1:50" x14ac:dyDescent="0.2">
      <c r="A20" s="359" t="s">
        <v>121</v>
      </c>
      <c r="B20" s="37"/>
      <c r="C20" s="391">
        <f t="shared" ref="C20:J20" si="9">AVERAGEA(C91:C95)</f>
        <v>136.12223987958185</v>
      </c>
      <c r="D20" s="391">
        <f t="shared" si="9"/>
        <v>174.46652580692117</v>
      </c>
      <c r="E20" s="391">
        <f t="shared" si="9"/>
        <v>432.02833224704693</v>
      </c>
      <c r="F20" s="391">
        <f t="shared" si="9"/>
        <v>67.643070054610433</v>
      </c>
      <c r="G20" s="391">
        <f t="shared" si="9"/>
        <v>83.915385884520973</v>
      </c>
      <c r="H20" s="391">
        <f t="shared" si="9"/>
        <v>71.34649428234259</v>
      </c>
      <c r="I20" s="391">
        <f t="shared" si="9"/>
        <v>233.07992173320417</v>
      </c>
      <c r="J20" s="392">
        <f t="shared" si="9"/>
        <v>33.291269411775382</v>
      </c>
      <c r="L20" s="38"/>
      <c r="T20" s="39"/>
      <c r="AD20" s="39"/>
      <c r="AX20" s="39"/>
    </row>
    <row r="21" spans="1:50" x14ac:dyDescent="0.2">
      <c r="A21" s="359" t="s">
        <v>122</v>
      </c>
      <c r="B21" s="37"/>
      <c r="C21" s="391">
        <f>AVERAGEA(C96:C100)</f>
        <v>120.93476605329033</v>
      </c>
      <c r="D21" s="391">
        <f t="shared" ref="D21:J21" si="10">AVERAGEA(D96:D100)</f>
        <v>175.22407847914349</v>
      </c>
      <c r="E21" s="391">
        <f t="shared" si="10"/>
        <v>408.79698781766251</v>
      </c>
      <c r="F21" s="391">
        <f t="shared" si="10"/>
        <v>34.188926437565605</v>
      </c>
      <c r="G21" s="391">
        <f t="shared" si="10"/>
        <v>77.48371755077126</v>
      </c>
      <c r="H21" s="391">
        <f t="shared" si="10"/>
        <v>75.747945210982266</v>
      </c>
      <c r="I21" s="391">
        <f t="shared" si="10"/>
        <v>149.65815671594311</v>
      </c>
      <c r="J21" s="392">
        <f t="shared" si="10"/>
        <v>12.317930646114252</v>
      </c>
      <c r="L21" s="38"/>
      <c r="T21" s="39"/>
      <c r="AD21" s="39"/>
      <c r="AX21" s="39"/>
    </row>
    <row r="22" spans="1:50" ht="18" hidden="1" customHeight="1" outlineLevel="1" x14ac:dyDescent="0.2">
      <c r="A22" s="40">
        <v>1984</v>
      </c>
      <c r="B22" s="37"/>
      <c r="C22" s="391"/>
      <c r="D22" s="391"/>
      <c r="E22" s="391"/>
      <c r="F22" s="391"/>
      <c r="G22" s="391"/>
      <c r="H22" s="391"/>
      <c r="I22" s="391"/>
      <c r="J22" s="392"/>
      <c r="L22" s="38"/>
      <c r="T22" s="39"/>
      <c r="AD22" s="39"/>
      <c r="AX22" s="39"/>
    </row>
    <row r="23" spans="1:50" ht="12.9" hidden="1" customHeight="1" outlineLevel="1" x14ac:dyDescent="0.2">
      <c r="A23" s="41" t="s">
        <v>29</v>
      </c>
      <c r="B23" s="37"/>
      <c r="C23" s="391">
        <v>46.220174543783543</v>
      </c>
      <c r="D23" s="391">
        <v>45.866298651575157</v>
      </c>
      <c r="E23" s="391">
        <v>86.338109943028442</v>
      </c>
      <c r="F23" s="391">
        <v>34.375434602557341</v>
      </c>
      <c r="G23" s="391">
        <v>41.646205873525552</v>
      </c>
      <c r="H23" s="391">
        <v>11.566622481794976</v>
      </c>
      <c r="I23" s="391">
        <v>89.14635274238799</v>
      </c>
      <c r="J23" s="392">
        <v>43.19999770734114</v>
      </c>
      <c r="L23" s="38"/>
      <c r="T23" s="39"/>
      <c r="AD23" s="39"/>
      <c r="AX23" s="39"/>
    </row>
    <row r="24" spans="1:50" ht="12.9" hidden="1" customHeight="1" outlineLevel="1" x14ac:dyDescent="0.2">
      <c r="A24" s="41" t="s">
        <v>30</v>
      </c>
      <c r="B24" s="37"/>
      <c r="C24" s="391">
        <v>47.908424321049786</v>
      </c>
      <c r="D24" s="391">
        <v>34.533831763959846</v>
      </c>
      <c r="E24" s="391">
        <v>102.66596032631298</v>
      </c>
      <c r="F24" s="391">
        <v>29.747232938112599</v>
      </c>
      <c r="G24" s="391">
        <v>79.073305792833608</v>
      </c>
      <c r="H24" s="391">
        <v>35.771920364795925</v>
      </c>
      <c r="I24" s="391">
        <v>71.32078169716678</v>
      </c>
      <c r="J24" s="392">
        <v>27.713278172598045</v>
      </c>
      <c r="L24" s="38"/>
      <c r="T24" s="39"/>
      <c r="AD24" s="39"/>
      <c r="AX24" s="39"/>
    </row>
    <row r="25" spans="1:50" ht="15" hidden="1" customHeight="1" outlineLevel="1" x14ac:dyDescent="0.2">
      <c r="A25" s="36"/>
      <c r="B25" s="37"/>
      <c r="C25" s="391"/>
      <c r="D25" s="391"/>
      <c r="E25" s="391"/>
      <c r="F25" s="391"/>
      <c r="G25" s="391"/>
      <c r="H25" s="391"/>
      <c r="I25" s="391"/>
      <c r="J25" s="392"/>
      <c r="L25" s="38"/>
      <c r="T25" s="39"/>
      <c r="AD25" s="39"/>
      <c r="AX25" s="39"/>
    </row>
    <row r="26" spans="1:50" ht="18" hidden="1" customHeight="1" outlineLevel="1" x14ac:dyDescent="0.2">
      <c r="A26" s="40">
        <v>1985</v>
      </c>
      <c r="B26" s="37"/>
      <c r="C26" s="391"/>
      <c r="D26" s="391"/>
      <c r="E26" s="391"/>
      <c r="F26" s="391"/>
      <c r="G26" s="391"/>
      <c r="H26" s="391"/>
      <c r="I26" s="391"/>
      <c r="J26" s="392"/>
      <c r="L26" s="38"/>
      <c r="T26" s="39"/>
      <c r="AD26" s="39"/>
      <c r="AX26" s="39"/>
    </row>
    <row r="27" spans="1:50" ht="12.9" hidden="1" customHeight="1" outlineLevel="1" x14ac:dyDescent="0.2">
      <c r="A27" s="41" t="s">
        <v>27</v>
      </c>
      <c r="B27" s="37"/>
      <c r="C27" s="391">
        <v>60.612930890373292</v>
      </c>
      <c r="D27" s="391">
        <v>40.900674810658181</v>
      </c>
      <c r="E27" s="391">
        <v>205.93346233196027</v>
      </c>
      <c r="F27" s="391">
        <v>55.872726225856027</v>
      </c>
      <c r="G27" s="391">
        <v>60.316359743820414</v>
      </c>
      <c r="H27" s="391">
        <v>31.232809807183621</v>
      </c>
      <c r="I27" s="391">
        <v>64.969967773653394</v>
      </c>
      <c r="J27" s="392">
        <v>171.6420070508812</v>
      </c>
      <c r="L27" s="38"/>
      <c r="T27" s="39"/>
      <c r="AD27" s="39"/>
      <c r="AX27" s="39"/>
    </row>
    <row r="28" spans="1:50" ht="12.9" hidden="1" customHeight="1" outlineLevel="1" x14ac:dyDescent="0.2">
      <c r="A28" s="41" t="s">
        <v>28</v>
      </c>
      <c r="B28" s="35"/>
      <c r="C28" s="393">
        <v>67.930045868459885</v>
      </c>
      <c r="D28" s="393">
        <v>47.013379557065768</v>
      </c>
      <c r="E28" s="393">
        <v>143.10977525565011</v>
      </c>
      <c r="F28" s="393">
        <v>32.738095765365543</v>
      </c>
      <c r="G28" s="393">
        <v>93.299940367917003</v>
      </c>
      <c r="H28" s="393">
        <v>30.535180366417809</v>
      </c>
      <c r="I28" s="393">
        <v>72.337751528504867</v>
      </c>
      <c r="J28" s="394">
        <v>172.69720329053862</v>
      </c>
      <c r="L28" s="28"/>
      <c r="T28" s="39"/>
      <c r="AD28" s="39"/>
      <c r="AX28" s="39"/>
    </row>
    <row r="29" spans="1:50" ht="12.9" hidden="1" customHeight="1" outlineLevel="1" x14ac:dyDescent="0.2">
      <c r="A29" s="41" t="s">
        <v>29</v>
      </c>
      <c r="B29" s="35"/>
      <c r="C29" s="393">
        <v>91.23033160271126</v>
      </c>
      <c r="D29" s="393">
        <v>85.429391653405759</v>
      </c>
      <c r="E29" s="393">
        <v>122.97460123460431</v>
      </c>
      <c r="F29" s="393">
        <v>38.589961068469002</v>
      </c>
      <c r="G29" s="393">
        <v>126.89421959209551</v>
      </c>
      <c r="H29" s="393">
        <v>18.902611147659847</v>
      </c>
      <c r="I29" s="393">
        <v>106.31401567303737</v>
      </c>
      <c r="J29" s="394">
        <v>142.50823566049345</v>
      </c>
      <c r="L29" s="28"/>
      <c r="T29" s="39"/>
      <c r="AX29" s="39"/>
    </row>
    <row r="30" spans="1:50" ht="12.9" hidden="1" customHeight="1" outlineLevel="1" x14ac:dyDescent="0.2">
      <c r="A30" s="41" t="s">
        <v>30</v>
      </c>
      <c r="B30" s="35"/>
      <c r="C30" s="393">
        <v>123.24948972966554</v>
      </c>
      <c r="D30" s="393">
        <v>85.339132736692235</v>
      </c>
      <c r="E30" s="393">
        <v>134.95754331842357</v>
      </c>
      <c r="F30" s="393">
        <v>88.666805444213651</v>
      </c>
      <c r="G30" s="393">
        <v>165.8392816821015</v>
      </c>
      <c r="H30" s="393">
        <v>216.65160129640572</v>
      </c>
      <c r="I30" s="393">
        <v>113.5944281807693</v>
      </c>
      <c r="J30" s="394">
        <v>151.49392994685326</v>
      </c>
      <c r="L30" s="28"/>
      <c r="T30" s="39"/>
      <c r="AD30" s="39"/>
      <c r="AX30" s="39"/>
    </row>
    <row r="31" spans="1:50" hidden="1" outlineLevel="1" x14ac:dyDescent="0.2">
      <c r="A31" s="26" t="s">
        <v>2</v>
      </c>
      <c r="B31" s="35"/>
      <c r="C31" s="393"/>
      <c r="D31" s="393"/>
      <c r="E31" s="393"/>
      <c r="F31" s="393"/>
      <c r="G31" s="393"/>
      <c r="H31" s="393"/>
      <c r="I31" s="393"/>
      <c r="J31" s="394"/>
      <c r="L31" s="28"/>
      <c r="T31" s="39"/>
      <c r="AD31" s="39"/>
      <c r="AX31" s="39"/>
    </row>
    <row r="32" spans="1:50" ht="18" hidden="1" customHeight="1" outlineLevel="1" x14ac:dyDescent="0.2">
      <c r="A32" s="40">
        <v>1986</v>
      </c>
      <c r="B32" s="35"/>
      <c r="C32" s="393"/>
      <c r="D32" s="393"/>
      <c r="E32" s="393"/>
      <c r="F32" s="393"/>
      <c r="G32" s="393"/>
      <c r="H32" s="393"/>
      <c r="I32" s="393"/>
      <c r="J32" s="394"/>
      <c r="L32" s="28"/>
      <c r="T32" s="39"/>
      <c r="AD32" s="39"/>
      <c r="AX32" s="39"/>
    </row>
    <row r="33" spans="1:50" ht="12.9" hidden="1" customHeight="1" outlineLevel="1" x14ac:dyDescent="0.2">
      <c r="A33" s="41" t="s">
        <v>27</v>
      </c>
      <c r="B33" s="35"/>
      <c r="C33" s="393">
        <v>92.868859175098038</v>
      </c>
      <c r="D33" s="393">
        <v>44.953128178130868</v>
      </c>
      <c r="E33" s="393">
        <v>124.5057057997525</v>
      </c>
      <c r="F33" s="393">
        <v>179.03933457642586</v>
      </c>
      <c r="G33" s="393">
        <v>104.94615938039695</v>
      </c>
      <c r="H33" s="393">
        <v>94.631224256816665</v>
      </c>
      <c r="I33" s="393">
        <v>96.352381620815351</v>
      </c>
      <c r="J33" s="394">
        <v>202.01037523660949</v>
      </c>
      <c r="L33" s="28"/>
    </row>
    <row r="34" spans="1:50" ht="12.9" hidden="1" customHeight="1" outlineLevel="1" x14ac:dyDescent="0.2">
      <c r="A34" s="41" t="s">
        <v>28</v>
      </c>
      <c r="B34" s="35"/>
      <c r="C34" s="393">
        <v>80.070043870697731</v>
      </c>
      <c r="D34" s="393">
        <v>69.196658251474659</v>
      </c>
      <c r="E34" s="393">
        <v>106.87431175029715</v>
      </c>
      <c r="F34" s="393">
        <v>86.881712810201023</v>
      </c>
      <c r="G34" s="393">
        <v>64.142948820581751</v>
      </c>
      <c r="H34" s="393">
        <v>68.900280415902984</v>
      </c>
      <c r="I34" s="393">
        <v>98.847709686073529</v>
      </c>
      <c r="J34" s="394">
        <v>150.02089663022136</v>
      </c>
      <c r="L34" s="28"/>
    </row>
    <row r="35" spans="1:50" ht="12.9" hidden="1" customHeight="1" outlineLevel="1" x14ac:dyDescent="0.2">
      <c r="A35" s="41" t="s">
        <v>29</v>
      </c>
      <c r="B35" s="35"/>
      <c r="C35" s="393">
        <v>93.489828288844507</v>
      </c>
      <c r="D35" s="393">
        <v>110.32593414613719</v>
      </c>
      <c r="E35" s="393">
        <v>70.724971605727859</v>
      </c>
      <c r="F35" s="393">
        <v>81.455569777793528</v>
      </c>
      <c r="G35" s="393">
        <v>49.549624798387434</v>
      </c>
      <c r="H35" s="393">
        <v>90.133623320439966</v>
      </c>
      <c r="I35" s="393">
        <v>114.50172479500225</v>
      </c>
      <c r="J35" s="394">
        <v>109.04764383926739</v>
      </c>
      <c r="L35" s="28"/>
    </row>
    <row r="36" spans="1:50" ht="12.9" hidden="1" customHeight="1" outlineLevel="1" x14ac:dyDescent="0.2">
      <c r="A36" s="41" t="s">
        <v>30</v>
      </c>
      <c r="B36" s="35"/>
      <c r="C36" s="393">
        <v>109.71046534934791</v>
      </c>
      <c r="D36" s="393">
        <v>93.69810299237848</v>
      </c>
      <c r="E36" s="393">
        <v>111.14489162386765</v>
      </c>
      <c r="F36" s="393">
        <v>74.5139759324301</v>
      </c>
      <c r="G36" s="393">
        <v>205.57125452050417</v>
      </c>
      <c r="H36" s="393">
        <v>90.568804833393685</v>
      </c>
      <c r="I36" s="393">
        <v>100.4947757635309</v>
      </c>
      <c r="J36" s="394">
        <v>20.596865075593261</v>
      </c>
      <c r="L36" s="28"/>
    </row>
    <row r="37" spans="1:50" hidden="1" outlineLevel="1" x14ac:dyDescent="0.2">
      <c r="A37" s="26" t="s">
        <v>2</v>
      </c>
      <c r="B37" s="35"/>
      <c r="C37" s="393"/>
      <c r="D37" s="393"/>
      <c r="E37" s="393"/>
      <c r="F37" s="393"/>
      <c r="G37" s="393"/>
      <c r="H37" s="393"/>
      <c r="I37" s="393"/>
      <c r="J37" s="394"/>
      <c r="L37" s="28"/>
      <c r="T37" s="39"/>
      <c r="AD37" s="39"/>
      <c r="AX37" s="39"/>
    </row>
    <row r="38" spans="1:50" ht="18" hidden="1" customHeight="1" outlineLevel="1" x14ac:dyDescent="0.2">
      <c r="A38" s="40">
        <v>1987</v>
      </c>
      <c r="B38" s="35"/>
      <c r="C38" s="393"/>
      <c r="D38" s="393"/>
      <c r="E38" s="393"/>
      <c r="F38" s="393"/>
      <c r="G38" s="393"/>
      <c r="H38" s="393"/>
      <c r="I38" s="393"/>
      <c r="J38" s="394"/>
      <c r="L38" s="28"/>
      <c r="T38" s="39"/>
      <c r="AD38" s="39"/>
      <c r="AX38" s="39"/>
    </row>
    <row r="39" spans="1:50" ht="12.9" hidden="1" customHeight="1" outlineLevel="1" x14ac:dyDescent="0.2">
      <c r="A39" s="41" t="s">
        <v>27</v>
      </c>
      <c r="B39" s="35"/>
      <c r="C39" s="393">
        <v>67.153275072784552</v>
      </c>
      <c r="D39" s="393">
        <v>44.368352098015059</v>
      </c>
      <c r="E39" s="393">
        <v>131.87377792781297</v>
      </c>
      <c r="F39" s="393">
        <v>58.525916706897384</v>
      </c>
      <c r="G39" s="393">
        <v>99.53313541062704</v>
      </c>
      <c r="H39" s="393">
        <v>68.636660845555994</v>
      </c>
      <c r="I39" s="393">
        <v>65.342410672410949</v>
      </c>
      <c r="J39" s="394">
        <v>101.29711951296284</v>
      </c>
      <c r="L39" s="28"/>
    </row>
    <row r="40" spans="1:50" ht="12.9" hidden="1" customHeight="1" outlineLevel="1" x14ac:dyDescent="0.2">
      <c r="A40" s="41" t="s">
        <v>28</v>
      </c>
      <c r="B40" s="35"/>
      <c r="C40" s="393">
        <v>85.168933709190611</v>
      </c>
      <c r="D40" s="393">
        <v>76.717424532478262</v>
      </c>
      <c r="E40" s="393">
        <v>72.150125117822242</v>
      </c>
      <c r="F40" s="393">
        <v>46.323118420061924</v>
      </c>
      <c r="G40" s="393">
        <v>90.206880344856259</v>
      </c>
      <c r="H40" s="393">
        <v>77.608764622621905</v>
      </c>
      <c r="I40" s="393">
        <v>97.688925563239536</v>
      </c>
      <c r="J40" s="394">
        <v>149.86117472974087</v>
      </c>
      <c r="L40" s="28"/>
    </row>
    <row r="41" spans="1:50" ht="12.9" hidden="1" customHeight="1" outlineLevel="1" x14ac:dyDescent="0.2">
      <c r="A41" s="41" t="s">
        <v>29</v>
      </c>
      <c r="B41" s="35"/>
      <c r="C41" s="393">
        <v>107.03866604078416</v>
      </c>
      <c r="D41" s="393">
        <v>99.961638090907996</v>
      </c>
      <c r="E41" s="393">
        <v>87.260555195719661</v>
      </c>
      <c r="F41" s="393">
        <v>44.13019696077172</v>
      </c>
      <c r="G41" s="393">
        <v>123.36404532638947</v>
      </c>
      <c r="H41" s="393">
        <v>68.555047574126675</v>
      </c>
      <c r="I41" s="393">
        <v>142.56704857697031</v>
      </c>
      <c r="J41" s="394">
        <v>164.78218069113154</v>
      </c>
      <c r="L41" s="28"/>
    </row>
    <row r="42" spans="1:50" ht="12.9" hidden="1" customHeight="1" outlineLevel="1" x14ac:dyDescent="0.2">
      <c r="A42" s="41" t="s">
        <v>30</v>
      </c>
      <c r="B42" s="35"/>
      <c r="C42" s="393">
        <v>132.55679084653252</v>
      </c>
      <c r="D42" s="393">
        <v>173.54894022421902</v>
      </c>
      <c r="E42" s="393">
        <v>105.12489920923096</v>
      </c>
      <c r="F42" s="393">
        <v>132.70523206115661</v>
      </c>
      <c r="G42" s="393">
        <v>106.29083751261574</v>
      </c>
      <c r="H42" s="393">
        <v>53.787430736050098</v>
      </c>
      <c r="I42" s="393">
        <v>134.29301771235578</v>
      </c>
      <c r="J42" s="394">
        <v>81.452055488076027</v>
      </c>
      <c r="L42" s="28"/>
    </row>
    <row r="43" spans="1:50" s="42" customFormat="1" ht="18" hidden="1" customHeight="1" outlineLevel="1" x14ac:dyDescent="0.2">
      <c r="A43" s="29" t="s">
        <v>31</v>
      </c>
      <c r="B43" s="30"/>
      <c r="C43" s="395"/>
      <c r="D43" s="395"/>
      <c r="E43" s="395"/>
      <c r="F43" s="395"/>
      <c r="G43" s="395"/>
      <c r="H43" s="395"/>
      <c r="I43" s="395"/>
      <c r="J43" s="394"/>
      <c r="L43" s="31"/>
      <c r="T43" s="43"/>
      <c r="AD43" s="43"/>
      <c r="AX43" s="43"/>
    </row>
    <row r="44" spans="1:50" ht="12.9" hidden="1" customHeight="1" outlineLevel="1" x14ac:dyDescent="0.2">
      <c r="A44" s="41" t="s">
        <v>27</v>
      </c>
      <c r="B44" s="44"/>
      <c r="C44" s="393">
        <v>92.195114246525804</v>
      </c>
      <c r="D44" s="393">
        <v>63.680582143839956</v>
      </c>
      <c r="E44" s="393">
        <v>112.49703855621863</v>
      </c>
      <c r="F44" s="393">
        <v>153.82924161023291</v>
      </c>
      <c r="G44" s="393">
        <v>86.606731762052036</v>
      </c>
      <c r="H44" s="393">
        <v>198.78488952708071</v>
      </c>
      <c r="I44" s="393">
        <v>83.216652487423985</v>
      </c>
      <c r="J44" s="394">
        <v>73.881504882169267</v>
      </c>
      <c r="L44" s="28"/>
      <c r="T44" s="39"/>
      <c r="AD44" s="39"/>
      <c r="AX44" s="39"/>
    </row>
    <row r="45" spans="1:50" ht="12.9" hidden="1" customHeight="1" outlineLevel="1" x14ac:dyDescent="0.2">
      <c r="A45" s="41" t="s">
        <v>28</v>
      </c>
      <c r="B45" s="44"/>
      <c r="C45" s="393">
        <v>68.209428866157566</v>
      </c>
      <c r="D45" s="393">
        <v>62.808839541033038</v>
      </c>
      <c r="E45" s="393">
        <v>95.117507038830766</v>
      </c>
      <c r="F45" s="393">
        <v>69.335329367838753</v>
      </c>
      <c r="G45" s="393">
        <v>83.738385398942768</v>
      </c>
      <c r="H45" s="393">
        <v>78.872632162742477</v>
      </c>
      <c r="I45" s="393">
        <v>39.923281223249937</v>
      </c>
      <c r="J45" s="394">
        <v>79.884258938623134</v>
      </c>
      <c r="L45" s="28"/>
    </row>
    <row r="46" spans="1:50" ht="12.9" hidden="1" customHeight="1" outlineLevel="1" x14ac:dyDescent="0.2">
      <c r="A46" s="41" t="s">
        <v>29</v>
      </c>
      <c r="B46" s="44"/>
      <c r="C46" s="393">
        <v>85.898861235793902</v>
      </c>
      <c r="D46" s="393">
        <v>97.390754555570197</v>
      </c>
      <c r="E46" s="393">
        <v>91.893524275704578</v>
      </c>
      <c r="F46" s="393">
        <v>61.728489111129804</v>
      </c>
      <c r="G46" s="393">
        <v>48.58950509125097</v>
      </c>
      <c r="H46" s="393">
        <v>29.507817240837063</v>
      </c>
      <c r="I46" s="393">
        <v>133.52517400456142</v>
      </c>
      <c r="J46" s="394">
        <v>142.25317736247749</v>
      </c>
      <c r="L46" s="28"/>
    </row>
    <row r="47" spans="1:50" ht="12.9" hidden="1" customHeight="1" outlineLevel="1" x14ac:dyDescent="0.2">
      <c r="A47" s="41" t="s">
        <v>30</v>
      </c>
      <c r="B47" s="44"/>
      <c r="C47" s="393">
        <v>106.59563020486222</v>
      </c>
      <c r="D47" s="393">
        <v>86.281205506167822</v>
      </c>
      <c r="E47" s="393">
        <v>70.959955179247416</v>
      </c>
      <c r="F47" s="393">
        <v>55.077265137456209</v>
      </c>
      <c r="G47" s="393">
        <v>161.79676327489565</v>
      </c>
      <c r="H47" s="393">
        <v>84.751599647737279</v>
      </c>
      <c r="I47" s="393">
        <v>148.22860043987362</v>
      </c>
      <c r="J47" s="394">
        <v>95.368876869412532</v>
      </c>
      <c r="L47" s="28"/>
    </row>
    <row r="48" spans="1:50" ht="18" hidden="1" customHeight="1" outlineLevel="1" x14ac:dyDescent="0.2">
      <c r="A48" s="29" t="s">
        <v>32</v>
      </c>
      <c r="B48" s="30"/>
      <c r="C48" s="393"/>
      <c r="D48" s="393"/>
      <c r="E48" s="393"/>
      <c r="F48" s="393"/>
      <c r="G48" s="393"/>
      <c r="H48" s="393"/>
      <c r="I48" s="393"/>
      <c r="J48" s="394"/>
      <c r="L48" s="28"/>
      <c r="T48" s="39"/>
      <c r="AD48" s="39"/>
      <c r="AX48" s="39"/>
    </row>
    <row r="49" spans="1:50" ht="12.9" hidden="1" customHeight="1" outlineLevel="1" x14ac:dyDescent="0.2">
      <c r="A49" s="41" t="s">
        <v>27</v>
      </c>
      <c r="B49" s="44"/>
      <c r="C49" s="393">
        <v>79.142526743171672</v>
      </c>
      <c r="D49" s="393">
        <v>37.553205649744555</v>
      </c>
      <c r="E49" s="393">
        <v>121.19010893029092</v>
      </c>
      <c r="F49" s="393">
        <v>59.396671996315021</v>
      </c>
      <c r="G49" s="393">
        <v>93.058483926084733</v>
      </c>
      <c r="H49" s="393">
        <v>70.145066920455605</v>
      </c>
      <c r="I49" s="393">
        <v>75.960509770558645</v>
      </c>
      <c r="J49" s="394">
        <v>285.85921450641683</v>
      </c>
      <c r="L49" s="28"/>
      <c r="T49" s="39"/>
      <c r="AD49" s="39"/>
      <c r="AX49" s="39"/>
    </row>
    <row r="50" spans="1:50" ht="12.9" hidden="1" customHeight="1" outlineLevel="1" x14ac:dyDescent="0.2">
      <c r="A50" s="41" t="s">
        <v>28</v>
      </c>
      <c r="B50" s="44"/>
      <c r="C50" s="393">
        <v>87.0876959750764</v>
      </c>
      <c r="D50" s="393">
        <v>53.387214491678535</v>
      </c>
      <c r="E50" s="393">
        <v>101.46450385521513</v>
      </c>
      <c r="F50" s="393">
        <v>94.921361850642896</v>
      </c>
      <c r="G50" s="393">
        <v>79.263257533454109</v>
      </c>
      <c r="H50" s="393">
        <v>268.14160839907015</v>
      </c>
      <c r="I50" s="393">
        <v>58.78943595038205</v>
      </c>
      <c r="J50" s="394">
        <v>103.04871088091116</v>
      </c>
      <c r="L50" s="28"/>
    </row>
    <row r="51" spans="1:50" ht="12.9" hidden="1" customHeight="1" outlineLevel="1" x14ac:dyDescent="0.2">
      <c r="A51" s="41" t="s">
        <v>29</v>
      </c>
      <c r="B51" s="44"/>
      <c r="C51" s="393">
        <v>129.25127401706933</v>
      </c>
      <c r="D51" s="393">
        <v>136.12656139700161</v>
      </c>
      <c r="E51" s="393">
        <v>83.652525285391675</v>
      </c>
      <c r="F51" s="393">
        <v>31.653504945057382</v>
      </c>
      <c r="G51" s="393">
        <v>127.15992678974612</v>
      </c>
      <c r="H51" s="393">
        <v>149.18608085321014</v>
      </c>
      <c r="I51" s="393">
        <v>189.98143033028558</v>
      </c>
      <c r="J51" s="394">
        <v>100.63358582831137</v>
      </c>
      <c r="L51" s="28"/>
    </row>
    <row r="52" spans="1:50" ht="12.9" hidden="1" customHeight="1" outlineLevel="1" x14ac:dyDescent="0.2">
      <c r="A52" s="41" t="s">
        <v>30</v>
      </c>
      <c r="B52" s="44"/>
      <c r="C52" s="393">
        <v>153.93021810481079</v>
      </c>
      <c r="D52" s="393">
        <v>144.2426476746551</v>
      </c>
      <c r="E52" s="393">
        <v>168.98704895813103</v>
      </c>
      <c r="F52" s="393">
        <v>68.839804943728666</v>
      </c>
      <c r="G52" s="393">
        <v>218.09508060654665</v>
      </c>
      <c r="H52" s="393">
        <v>59.930352546401863</v>
      </c>
      <c r="I52" s="393">
        <v>209.62657975020483</v>
      </c>
      <c r="J52" s="394">
        <v>155.74127153726118</v>
      </c>
      <c r="L52" s="28"/>
      <c r="O52" s="39"/>
      <c r="T52" s="39"/>
      <c r="AC52" s="39"/>
      <c r="AX52" s="39"/>
    </row>
    <row r="53" spans="1:50" ht="15" hidden="1" customHeight="1" outlineLevel="1" x14ac:dyDescent="0.2">
      <c r="A53" s="29" t="s">
        <v>33</v>
      </c>
      <c r="B53" s="30"/>
      <c r="C53" s="393"/>
      <c r="D53" s="393"/>
      <c r="E53" s="393"/>
      <c r="F53" s="393"/>
      <c r="G53" s="393"/>
      <c r="H53" s="393"/>
      <c r="I53" s="393"/>
      <c r="J53" s="394"/>
      <c r="L53" s="28"/>
      <c r="T53" s="39"/>
      <c r="AD53" s="39"/>
      <c r="AX53" s="39"/>
    </row>
    <row r="54" spans="1:50" ht="11.1" hidden="1" customHeight="1" outlineLevel="1" x14ac:dyDescent="0.2">
      <c r="A54" s="41" t="s">
        <v>27</v>
      </c>
      <c r="B54" s="44"/>
      <c r="C54" s="393">
        <v>105.69963801092455</v>
      </c>
      <c r="D54" s="393">
        <v>103.89036869309277</v>
      </c>
      <c r="E54" s="393">
        <v>178.21511724266958</v>
      </c>
      <c r="F54" s="393">
        <v>73.340626536333886</v>
      </c>
      <c r="G54" s="393">
        <v>137.43413864487451</v>
      </c>
      <c r="H54" s="393">
        <v>53.130641406499969</v>
      </c>
      <c r="I54" s="393">
        <v>134.03182228740809</v>
      </c>
      <c r="J54" s="394">
        <v>76.476030490452246</v>
      </c>
      <c r="L54" s="28"/>
    </row>
    <row r="55" spans="1:50" ht="11.1" hidden="1" customHeight="1" outlineLevel="1" x14ac:dyDescent="0.2">
      <c r="A55" s="41" t="s">
        <v>28</v>
      </c>
      <c r="B55" s="44"/>
      <c r="C55" s="393">
        <v>96.323244015671648</v>
      </c>
      <c r="D55" s="393">
        <v>91.31020501561396</v>
      </c>
      <c r="E55" s="393">
        <v>173.89178960683211</v>
      </c>
      <c r="F55" s="393">
        <v>92.264628113083035</v>
      </c>
      <c r="G55" s="393">
        <v>124.9187214896421</v>
      </c>
      <c r="H55" s="393">
        <v>51.033903401587921</v>
      </c>
      <c r="I55" s="393">
        <v>83.275818301914896</v>
      </c>
      <c r="J55" s="394">
        <v>112.10089227416951</v>
      </c>
      <c r="L55" s="28"/>
    </row>
    <row r="56" spans="1:50" ht="11.1" hidden="1" customHeight="1" outlineLevel="1" x14ac:dyDescent="0.2">
      <c r="A56" s="41" t="s">
        <v>29</v>
      </c>
      <c r="B56" s="44"/>
      <c r="C56" s="393">
        <v>163.32315748949819</v>
      </c>
      <c r="D56" s="393">
        <v>126.61419136385939</v>
      </c>
      <c r="E56" s="393">
        <v>175.83905201261243</v>
      </c>
      <c r="F56" s="393">
        <v>68.133279593942802</v>
      </c>
      <c r="G56" s="393">
        <v>135.83471495695397</v>
      </c>
      <c r="H56" s="393">
        <v>56.712017880604094</v>
      </c>
      <c r="I56" s="393">
        <v>445.63061771865273</v>
      </c>
      <c r="J56" s="394">
        <v>232.09903904159214</v>
      </c>
      <c r="L56" s="28"/>
    </row>
    <row r="57" spans="1:50" ht="11.1" hidden="1" customHeight="1" outlineLevel="1" x14ac:dyDescent="0.2">
      <c r="A57" s="41" t="s">
        <v>30</v>
      </c>
      <c r="B57" s="44"/>
      <c r="C57" s="393">
        <v>231.19797114024186</v>
      </c>
      <c r="D57" s="393">
        <v>189.49997906172604</v>
      </c>
      <c r="E57" s="393">
        <v>180.32706541003159</v>
      </c>
      <c r="F57" s="393">
        <v>123.38540444058623</v>
      </c>
      <c r="G57" s="393">
        <v>261.52300377519697</v>
      </c>
      <c r="H57" s="393">
        <v>131.33660896689832</v>
      </c>
      <c r="I57" s="393">
        <v>384.49160363627055</v>
      </c>
      <c r="J57" s="394">
        <v>382.07083456125906</v>
      </c>
      <c r="L57" s="28"/>
      <c r="T57" s="39"/>
      <c r="AD57" s="39"/>
      <c r="AX57" s="39"/>
    </row>
    <row r="58" spans="1:50" ht="15" hidden="1" customHeight="1" outlineLevel="1" collapsed="1" x14ac:dyDescent="0.2">
      <c r="A58" s="29" t="s">
        <v>34</v>
      </c>
      <c r="B58" s="30"/>
      <c r="C58" s="393"/>
      <c r="D58" s="393"/>
      <c r="E58" s="393"/>
      <c r="F58" s="393"/>
      <c r="G58" s="393"/>
      <c r="H58" s="393"/>
      <c r="I58" s="393"/>
      <c r="J58" s="394"/>
      <c r="L58" s="28"/>
    </row>
    <row r="59" spans="1:50" ht="12.75" hidden="1" customHeight="1" outlineLevel="1" x14ac:dyDescent="0.2">
      <c r="A59" s="41" t="s">
        <v>27</v>
      </c>
      <c r="B59" s="44"/>
      <c r="C59" s="389">
        <v>127.32465804490079</v>
      </c>
      <c r="D59" s="389">
        <v>163.19707626915854</v>
      </c>
      <c r="E59" s="389">
        <v>107.53393331591208</v>
      </c>
      <c r="F59" s="389">
        <v>37.637533716300311</v>
      </c>
      <c r="G59" s="389">
        <v>93.545225876457422</v>
      </c>
      <c r="H59" s="389">
        <v>180.97960530208414</v>
      </c>
      <c r="I59" s="389">
        <v>132.85388470799836</v>
      </c>
      <c r="J59" s="390">
        <v>60.502694112977451</v>
      </c>
      <c r="K59" s="33"/>
      <c r="L59" s="34"/>
    </row>
    <row r="60" spans="1:50" ht="12.75" hidden="1" customHeight="1" outlineLevel="1" x14ac:dyDescent="0.2">
      <c r="A60" s="41" t="s">
        <v>28</v>
      </c>
      <c r="B60" s="44"/>
      <c r="C60" s="389">
        <v>134.97943062840287</v>
      </c>
      <c r="D60" s="389">
        <v>125.58950588664617</v>
      </c>
      <c r="E60" s="389">
        <v>83.462992883383677</v>
      </c>
      <c r="F60" s="389">
        <v>25.04816614329815</v>
      </c>
      <c r="G60" s="389">
        <v>204.3708045676261</v>
      </c>
      <c r="H60" s="389">
        <v>206.77649587996086</v>
      </c>
      <c r="I60" s="389">
        <v>96.630106741164013</v>
      </c>
      <c r="J60" s="390">
        <v>106.89464611616424</v>
      </c>
      <c r="L60" s="34"/>
    </row>
    <row r="61" spans="1:50" ht="12.75" hidden="1" customHeight="1" outlineLevel="1" x14ac:dyDescent="0.2">
      <c r="A61" s="41" t="s">
        <v>29</v>
      </c>
      <c r="B61" s="44"/>
      <c r="C61" s="389">
        <v>119.03589636683809</v>
      </c>
      <c r="D61" s="389">
        <v>147.52257220713338</v>
      </c>
      <c r="E61" s="389">
        <v>117.76282622908816</v>
      </c>
      <c r="F61" s="389">
        <v>41.495431413626484</v>
      </c>
      <c r="G61" s="389">
        <v>122.88323467542746</v>
      </c>
      <c r="H61" s="389">
        <v>76.136177333788481</v>
      </c>
      <c r="I61" s="389">
        <v>151.43168808202404</v>
      </c>
      <c r="J61" s="390">
        <v>49.292929678898787</v>
      </c>
      <c r="L61" s="34"/>
    </row>
    <row r="62" spans="1:50" ht="12.75" hidden="1" customHeight="1" outlineLevel="1" x14ac:dyDescent="0.2">
      <c r="A62" s="41" t="s">
        <v>30</v>
      </c>
      <c r="B62" s="44"/>
      <c r="C62" s="389">
        <v>113.78809873743083</v>
      </c>
      <c r="D62" s="389">
        <v>132.02802513191114</v>
      </c>
      <c r="E62" s="389">
        <v>234.75597194839105</v>
      </c>
      <c r="F62" s="389">
        <v>39.048635624786847</v>
      </c>
      <c r="G62" s="389">
        <v>141.29256153113116</v>
      </c>
      <c r="H62" s="389">
        <v>83.785664066485012</v>
      </c>
      <c r="I62" s="389">
        <v>137.52142464984269</v>
      </c>
      <c r="J62" s="390">
        <v>11.936537292245703</v>
      </c>
      <c r="L62" s="34"/>
    </row>
    <row r="63" spans="1:50" ht="15" hidden="1" customHeight="1" outlineLevel="1" collapsed="1" x14ac:dyDescent="0.2">
      <c r="A63" s="26" t="s">
        <v>49</v>
      </c>
      <c r="B63" s="35"/>
      <c r="C63" s="396"/>
      <c r="D63" s="396"/>
      <c r="E63" s="396"/>
      <c r="F63" s="396"/>
      <c r="G63" s="396"/>
      <c r="H63" s="396"/>
      <c r="I63" s="396"/>
      <c r="J63" s="397"/>
    </row>
    <row r="64" spans="1:50" ht="12.75" hidden="1" customHeight="1" outlineLevel="1" x14ac:dyDescent="0.2">
      <c r="A64" s="45" t="s">
        <v>27</v>
      </c>
      <c r="B64" s="27"/>
      <c r="C64" s="398">
        <v>92.729876222797003</v>
      </c>
      <c r="D64" s="389">
        <v>104.99284359707579</v>
      </c>
      <c r="E64" s="389">
        <v>523.54027263811099</v>
      </c>
      <c r="F64" s="389">
        <v>78.073177105248007</v>
      </c>
      <c r="G64" s="389">
        <v>42.604899065613871</v>
      </c>
      <c r="H64" s="389">
        <v>125.17243021341386</v>
      </c>
      <c r="I64" s="389">
        <v>81.484314171786835</v>
      </c>
      <c r="J64" s="390">
        <v>85.315758829482988</v>
      </c>
      <c r="L64" s="34"/>
    </row>
    <row r="65" spans="1:12" ht="12.75" hidden="1" customHeight="1" outlineLevel="1" x14ac:dyDescent="0.2">
      <c r="A65" s="41" t="s">
        <v>28</v>
      </c>
      <c r="B65" s="27"/>
      <c r="C65" s="398">
        <v>102.17155030841272</v>
      </c>
      <c r="D65" s="389">
        <v>123.99944962251284</v>
      </c>
      <c r="E65" s="389">
        <v>191.2993146533874</v>
      </c>
      <c r="F65" s="389">
        <v>22.36202337663488</v>
      </c>
      <c r="G65" s="389">
        <v>112.85866295372328</v>
      </c>
      <c r="H65" s="389">
        <v>63.415486955141233</v>
      </c>
      <c r="I65" s="389">
        <v>123.20967328269907</v>
      </c>
      <c r="J65" s="390">
        <v>49.151357994382025</v>
      </c>
      <c r="L65" s="34"/>
    </row>
    <row r="66" spans="1:12" ht="12.75" hidden="1" customHeight="1" outlineLevel="1" collapsed="1" x14ac:dyDescent="0.2">
      <c r="A66" s="41" t="s">
        <v>29</v>
      </c>
      <c r="B66" s="27"/>
      <c r="C66" s="398">
        <v>119.14731959754386</v>
      </c>
      <c r="D66" s="389">
        <v>181.43758450089135</v>
      </c>
      <c r="E66" s="389">
        <v>345.08737911462742</v>
      </c>
      <c r="F66" s="389">
        <v>7.9647091650758925</v>
      </c>
      <c r="G66" s="389">
        <v>60.898978521375859</v>
      </c>
      <c r="H66" s="389">
        <v>34.552207010489624</v>
      </c>
      <c r="I66" s="389">
        <v>186.82137237140131</v>
      </c>
      <c r="J66" s="390">
        <v>31.607932408595747</v>
      </c>
      <c r="L66" s="34"/>
    </row>
    <row r="67" spans="1:12" ht="12.75" hidden="1" customHeight="1" outlineLevel="1" x14ac:dyDescent="0.2">
      <c r="A67" s="46" t="s">
        <v>30</v>
      </c>
      <c r="B67" s="27"/>
      <c r="C67" s="398">
        <v>170.4802082266695</v>
      </c>
      <c r="D67" s="389">
        <v>140.87046387250385</v>
      </c>
      <c r="E67" s="389">
        <v>618.08322140007908</v>
      </c>
      <c r="F67" s="389">
        <v>41.75355765099809</v>
      </c>
      <c r="G67" s="389">
        <v>348.87948181465475</v>
      </c>
      <c r="H67" s="389">
        <v>105.98065768814675</v>
      </c>
      <c r="I67" s="389">
        <v>171.87511683936481</v>
      </c>
      <c r="J67" s="390">
        <v>8.1358820694494121</v>
      </c>
      <c r="L67" s="34"/>
    </row>
    <row r="68" spans="1:12" ht="15" customHeight="1" collapsed="1" x14ac:dyDescent="0.2">
      <c r="A68" s="47">
        <v>1993</v>
      </c>
      <c r="B68" s="27"/>
      <c r="C68" s="398"/>
      <c r="D68" s="389"/>
      <c r="E68" s="389"/>
      <c r="F68" s="389"/>
      <c r="G68" s="389"/>
      <c r="H68" s="389"/>
      <c r="I68" s="389"/>
      <c r="J68" s="390"/>
      <c r="L68" s="34"/>
    </row>
    <row r="69" spans="1:12" x14ac:dyDescent="0.2">
      <c r="A69" s="45" t="s">
        <v>27</v>
      </c>
      <c r="B69" s="27"/>
      <c r="C69" s="398">
        <v>71.604434954456579</v>
      </c>
      <c r="D69" s="389">
        <v>87.952341497266062</v>
      </c>
      <c r="E69" s="389">
        <v>403.35199847886003</v>
      </c>
      <c r="F69" s="389">
        <v>40.876778825499045</v>
      </c>
      <c r="G69" s="389">
        <v>71.068228900857008</v>
      </c>
      <c r="H69" s="389">
        <v>32.710585798671474</v>
      </c>
      <c r="I69" s="389">
        <v>78.296969096684947</v>
      </c>
      <c r="J69" s="390">
        <v>5.2750259237624055</v>
      </c>
      <c r="L69" s="34"/>
    </row>
    <row r="70" spans="1:12" x14ac:dyDescent="0.2">
      <c r="A70" s="41" t="s">
        <v>28</v>
      </c>
      <c r="B70" s="27"/>
      <c r="C70" s="398">
        <v>93.905352565392931</v>
      </c>
      <c r="D70" s="389">
        <v>109.10971954677611</v>
      </c>
      <c r="E70" s="389">
        <v>260.30404495090357</v>
      </c>
      <c r="F70" s="389">
        <v>26.496472245228787</v>
      </c>
      <c r="G70" s="389">
        <v>100.18114864117871</v>
      </c>
      <c r="H70" s="389">
        <v>45.50324850446107</v>
      </c>
      <c r="I70" s="389">
        <v>149.45468403684023</v>
      </c>
      <c r="J70" s="390">
        <v>21.233842128466272</v>
      </c>
      <c r="L70" s="34"/>
    </row>
    <row r="71" spans="1:12" x14ac:dyDescent="0.2">
      <c r="A71" s="41" t="s">
        <v>29</v>
      </c>
      <c r="B71" s="27"/>
      <c r="C71" s="398">
        <v>71.117706103932449</v>
      </c>
      <c r="D71" s="389">
        <v>91.041484703095279</v>
      </c>
      <c r="E71" s="389">
        <v>162.63466307666809</v>
      </c>
      <c r="F71" s="389">
        <v>10.672288633675995</v>
      </c>
      <c r="G71" s="389">
        <v>32.217466963506929</v>
      </c>
      <c r="H71" s="389">
        <v>25.156838998824753</v>
      </c>
      <c r="I71" s="389">
        <v>168.04534384062225</v>
      </c>
      <c r="J71" s="390">
        <v>30.457972936117443</v>
      </c>
      <c r="L71" s="34"/>
    </row>
    <row r="72" spans="1:12" x14ac:dyDescent="0.2">
      <c r="A72" s="46" t="s">
        <v>30</v>
      </c>
      <c r="B72" s="240"/>
      <c r="C72" s="399">
        <v>103.89571371491053</v>
      </c>
      <c r="D72" s="399">
        <v>77.959176348125723</v>
      </c>
      <c r="E72" s="399">
        <v>211.40956589555589</v>
      </c>
      <c r="F72" s="399">
        <v>42.924781093183221</v>
      </c>
      <c r="G72" s="399">
        <v>115.84728705931242</v>
      </c>
      <c r="H72" s="399">
        <v>201.20282496405358</v>
      </c>
      <c r="I72" s="399">
        <v>199.45963638605758</v>
      </c>
      <c r="J72" s="392">
        <v>4.6846662676803392</v>
      </c>
      <c r="L72" s="38"/>
    </row>
    <row r="73" spans="1:12" ht="15" customHeight="1" x14ac:dyDescent="0.2">
      <c r="A73" s="47">
        <v>1994</v>
      </c>
      <c r="B73" s="27"/>
      <c r="C73" s="398"/>
      <c r="D73" s="389"/>
      <c r="E73" s="389"/>
      <c r="F73" s="389"/>
      <c r="G73" s="389"/>
      <c r="H73" s="389"/>
      <c r="I73" s="389"/>
      <c r="J73" s="390"/>
      <c r="L73" s="34"/>
    </row>
    <row r="74" spans="1:12" ht="12.75" customHeight="1" x14ac:dyDescent="0.2">
      <c r="A74" s="45" t="s">
        <v>27</v>
      </c>
      <c r="B74" s="27"/>
      <c r="C74" s="398">
        <v>67.269132476630716</v>
      </c>
      <c r="D74" s="389">
        <v>50.357932315533816</v>
      </c>
      <c r="E74" s="389">
        <v>184.6964787035333</v>
      </c>
      <c r="F74" s="389">
        <v>91.459954557735159</v>
      </c>
      <c r="G74" s="389">
        <v>87.857710379529948</v>
      </c>
      <c r="H74" s="389">
        <v>51.64315751972314</v>
      </c>
      <c r="I74" s="389">
        <v>114.80542515098107</v>
      </c>
      <c r="J74" s="390">
        <v>5.4232845299500054</v>
      </c>
      <c r="L74" s="34"/>
    </row>
    <row r="75" spans="1:12" ht="12.75" customHeight="1" x14ac:dyDescent="0.2">
      <c r="A75" s="41" t="s">
        <v>28</v>
      </c>
      <c r="B75" s="27"/>
      <c r="C75" s="398">
        <v>109.75384828547874</v>
      </c>
      <c r="D75" s="389">
        <v>122.88787030833103</v>
      </c>
      <c r="E75" s="389">
        <v>348.61109557659438</v>
      </c>
      <c r="F75" s="389">
        <v>70.853083297531668</v>
      </c>
      <c r="G75" s="389">
        <v>76.89216428423012</v>
      </c>
      <c r="H75" s="389">
        <v>147.15545696276612</v>
      </c>
      <c r="I75" s="389">
        <v>153.60521183919755</v>
      </c>
      <c r="J75" s="390">
        <v>24.259769711970396</v>
      </c>
      <c r="L75" s="34"/>
    </row>
    <row r="76" spans="1:12" ht="12.75" customHeight="1" x14ac:dyDescent="0.2">
      <c r="A76" s="41" t="s">
        <v>29</v>
      </c>
      <c r="B76" s="27"/>
      <c r="C76" s="398">
        <v>141.12371203832441</v>
      </c>
      <c r="D76" s="389">
        <v>215.79016933081277</v>
      </c>
      <c r="E76" s="389">
        <v>310.96410374255316</v>
      </c>
      <c r="F76" s="389">
        <v>39.968996505463252</v>
      </c>
      <c r="G76" s="389">
        <v>69.353407653516001</v>
      </c>
      <c r="H76" s="389">
        <v>44.615812973045443</v>
      </c>
      <c r="I76" s="389">
        <v>229.45486770012246</v>
      </c>
      <c r="J76" s="390">
        <v>6.237560534552518</v>
      </c>
      <c r="L76" s="34"/>
    </row>
    <row r="77" spans="1:12" ht="12.75" customHeight="1" x14ac:dyDescent="0.2">
      <c r="A77" s="46" t="s">
        <v>30</v>
      </c>
      <c r="B77" s="240"/>
      <c r="C77" s="399">
        <v>153.86974005295551</v>
      </c>
      <c r="D77" s="399">
        <v>190.50936588935818</v>
      </c>
      <c r="E77" s="399">
        <v>275.08635214184835</v>
      </c>
      <c r="F77" s="399">
        <v>70.462262103542812</v>
      </c>
      <c r="G77" s="399">
        <v>156.96350505258491</v>
      </c>
      <c r="H77" s="399">
        <v>166.09857346663165</v>
      </c>
      <c r="I77" s="399">
        <v>162.69142797545996</v>
      </c>
      <c r="J77" s="392">
        <v>2.9367049429247349</v>
      </c>
      <c r="L77" s="38"/>
    </row>
    <row r="78" spans="1:12" ht="15" customHeight="1" x14ac:dyDescent="0.2">
      <c r="A78" s="47">
        <v>1995</v>
      </c>
      <c r="B78" s="27"/>
      <c r="C78" s="398"/>
      <c r="D78" s="389"/>
      <c r="E78" s="389"/>
      <c r="F78" s="389"/>
      <c r="G78" s="389"/>
      <c r="H78" s="389"/>
      <c r="I78" s="389"/>
      <c r="J78" s="390"/>
      <c r="L78" s="34"/>
    </row>
    <row r="79" spans="1:12" s="277" customFormat="1" ht="12.75" customHeight="1" x14ac:dyDescent="0.2">
      <c r="A79" s="300" t="s">
        <v>27</v>
      </c>
      <c r="B79" s="240"/>
      <c r="C79" s="399">
        <v>82.499289395003146</v>
      </c>
      <c r="D79" s="399">
        <v>89.238138467796929</v>
      </c>
      <c r="E79" s="399">
        <v>194.52491324113626</v>
      </c>
      <c r="F79" s="399">
        <v>107.58230320531842</v>
      </c>
      <c r="G79" s="399">
        <v>85.936645088123896</v>
      </c>
      <c r="H79" s="399">
        <v>34.869922990446845</v>
      </c>
      <c r="I79" s="399">
        <v>113.76129939148419</v>
      </c>
      <c r="J79" s="392">
        <v>3.5658487446976292</v>
      </c>
      <c r="L79" s="38"/>
    </row>
    <row r="80" spans="1:12" s="277" customFormat="1" ht="12.75" customHeight="1" x14ac:dyDescent="0.2">
      <c r="A80" s="300" t="s">
        <v>28</v>
      </c>
      <c r="B80" s="240"/>
      <c r="C80" s="399">
        <v>67.486858053287165</v>
      </c>
      <c r="D80" s="399">
        <v>65.204421116548417</v>
      </c>
      <c r="E80" s="399">
        <v>197.13484762672689</v>
      </c>
      <c r="F80" s="399">
        <v>45.310101381427138</v>
      </c>
      <c r="G80" s="399">
        <v>85.620859704309709</v>
      </c>
      <c r="H80" s="399">
        <v>26.296679807753549</v>
      </c>
      <c r="I80" s="399">
        <v>119.37090078312711</v>
      </c>
      <c r="J80" s="392">
        <v>8.0755087195070399</v>
      </c>
      <c r="L80" s="38"/>
    </row>
    <row r="81" spans="1:12" s="277" customFormat="1" ht="12.75" customHeight="1" x14ac:dyDescent="0.2">
      <c r="A81" s="300" t="s">
        <v>29</v>
      </c>
      <c r="B81" s="240"/>
      <c r="C81" s="399">
        <v>93.84892791235518</v>
      </c>
      <c r="D81" s="399">
        <v>111.89789749817538</v>
      </c>
      <c r="E81" s="399">
        <v>251.22576827223523</v>
      </c>
      <c r="F81" s="399">
        <v>55.377272666876308</v>
      </c>
      <c r="G81" s="399">
        <v>52.412895771114911</v>
      </c>
      <c r="H81" s="399">
        <v>33.757264288327171</v>
      </c>
      <c r="I81" s="399">
        <v>222.46365874312656</v>
      </c>
      <c r="J81" s="392">
        <v>5.1951649735221777</v>
      </c>
      <c r="L81" s="38"/>
    </row>
    <row r="82" spans="1:12" s="277" customFormat="1" ht="12.75" customHeight="1" x14ac:dyDescent="0.2">
      <c r="A82" s="300" t="s">
        <v>30</v>
      </c>
      <c r="B82" s="240"/>
      <c r="C82" s="399">
        <v>169.05308328211007</v>
      </c>
      <c r="D82" s="399">
        <v>180.08841933978633</v>
      </c>
      <c r="E82" s="399">
        <v>335.0291873798264</v>
      </c>
      <c r="F82" s="399">
        <v>66.081450609218663</v>
      </c>
      <c r="G82" s="399">
        <v>242.4150599446024</v>
      </c>
      <c r="H82" s="399">
        <v>188.09301536182372</v>
      </c>
      <c r="I82" s="399">
        <v>160.82370358320503</v>
      </c>
      <c r="J82" s="392">
        <v>1.28962060794626</v>
      </c>
      <c r="L82" s="38"/>
    </row>
    <row r="83" spans="1:12" s="277" customFormat="1" ht="15" customHeight="1" x14ac:dyDescent="0.2">
      <c r="A83" s="47">
        <v>1996</v>
      </c>
      <c r="B83" s="27"/>
      <c r="C83" s="399"/>
      <c r="D83" s="399"/>
      <c r="E83" s="399"/>
      <c r="F83" s="399"/>
      <c r="G83" s="399"/>
      <c r="H83" s="399"/>
      <c r="I83" s="399"/>
      <c r="J83" s="392"/>
      <c r="L83" s="38"/>
    </row>
    <row r="84" spans="1:12" s="277" customFormat="1" ht="12.75" customHeight="1" x14ac:dyDescent="0.2">
      <c r="A84" s="300" t="s">
        <v>27</v>
      </c>
      <c r="B84" s="240"/>
      <c r="C84" s="400">
        <v>95.609989071875873</v>
      </c>
      <c r="D84" s="400">
        <v>80.930859575970047</v>
      </c>
      <c r="E84" s="400">
        <v>183.18005679871229</v>
      </c>
      <c r="F84" s="400">
        <v>89.252434881588812</v>
      </c>
      <c r="G84" s="400">
        <v>110.42235544287755</v>
      </c>
      <c r="H84" s="400">
        <v>68.489067361662705</v>
      </c>
      <c r="I84" s="400">
        <v>201.15710491568217</v>
      </c>
      <c r="J84" s="401">
        <v>3.3135798482928527</v>
      </c>
      <c r="L84" s="38"/>
    </row>
    <row r="85" spans="1:12" s="277" customFormat="1" ht="12.75" customHeight="1" x14ac:dyDescent="0.2">
      <c r="A85" s="300" t="s">
        <v>28</v>
      </c>
      <c r="B85" s="240"/>
      <c r="C85" s="402">
        <v>72.049517410289084</v>
      </c>
      <c r="D85" s="402">
        <v>80.852060625276692</v>
      </c>
      <c r="E85" s="402">
        <v>212.89450752588021</v>
      </c>
      <c r="F85" s="402">
        <v>35.255933847400797</v>
      </c>
      <c r="G85" s="402">
        <v>57.047688210359915</v>
      </c>
      <c r="H85" s="402">
        <v>82.080924178241304</v>
      </c>
      <c r="I85" s="402">
        <v>116.68941686251951</v>
      </c>
      <c r="J85" s="403">
        <v>6.4087457293258296</v>
      </c>
      <c r="L85" s="38"/>
    </row>
    <row r="86" spans="1:12" s="277" customFormat="1" ht="12.75" customHeight="1" x14ac:dyDescent="0.2">
      <c r="A86" s="300" t="s">
        <v>29</v>
      </c>
      <c r="B86" s="240"/>
      <c r="C86" s="402">
        <v>136.71306253194433</v>
      </c>
      <c r="D86" s="402">
        <v>158.83757183822092</v>
      </c>
      <c r="E86" s="402">
        <v>381.70564926540942</v>
      </c>
      <c r="F86" s="402">
        <v>65.710577949428867</v>
      </c>
      <c r="G86" s="402">
        <v>103.28899937289646</v>
      </c>
      <c r="H86" s="402">
        <v>52.853129503239472</v>
      </c>
      <c r="I86" s="402">
        <v>301.77648309740255</v>
      </c>
      <c r="J86" s="403">
        <v>2.2575047560730379</v>
      </c>
      <c r="L86" s="38"/>
    </row>
    <row r="87" spans="1:12" s="277" customFormat="1" x14ac:dyDescent="0.2">
      <c r="A87" s="300" t="s">
        <v>30</v>
      </c>
      <c r="B87" s="240"/>
      <c r="C87" s="402">
        <v>162.19560710809606</v>
      </c>
      <c r="D87" s="402">
        <v>135.18423936235976</v>
      </c>
      <c r="E87" s="402">
        <v>363.96322013924123</v>
      </c>
      <c r="F87" s="402">
        <v>65.84575318560907</v>
      </c>
      <c r="G87" s="402">
        <v>235.33218749137754</v>
      </c>
      <c r="H87" s="402">
        <v>97.409188707006265</v>
      </c>
      <c r="I87" s="402">
        <v>339.89238643541711</v>
      </c>
      <c r="J87" s="403">
        <v>1.58422727127265</v>
      </c>
      <c r="L87" s="38"/>
    </row>
    <row r="88" spans="1:12" s="277" customFormat="1" ht="15" customHeight="1" x14ac:dyDescent="0.2">
      <c r="A88" s="47">
        <v>1997</v>
      </c>
      <c r="B88" s="240"/>
      <c r="C88" s="402"/>
      <c r="E88" s="402"/>
      <c r="F88" s="402"/>
      <c r="G88" s="402"/>
      <c r="H88" s="402"/>
      <c r="I88" s="402"/>
      <c r="J88" s="403"/>
      <c r="L88" s="38"/>
    </row>
    <row r="89" spans="1:12" s="277" customFormat="1" ht="12.9" customHeight="1" x14ac:dyDescent="0.2">
      <c r="A89" s="300" t="s">
        <v>27</v>
      </c>
      <c r="B89" s="240"/>
      <c r="C89" s="402">
        <v>85.96553320711439</v>
      </c>
      <c r="D89" s="402">
        <v>71.864044795941567</v>
      </c>
      <c r="E89" s="402">
        <v>433.71033063439455</v>
      </c>
      <c r="F89" s="402">
        <v>86.423569742360968</v>
      </c>
      <c r="G89" s="402">
        <v>91.509739062242787</v>
      </c>
      <c r="H89" s="402">
        <v>69.51924242932715</v>
      </c>
      <c r="I89" s="402">
        <v>153.77864245284937</v>
      </c>
      <c r="J89" s="403">
        <v>8.9826374078816826</v>
      </c>
      <c r="L89" s="38"/>
    </row>
    <row r="90" spans="1:12" s="277" customFormat="1" ht="12.9" customHeight="1" x14ac:dyDescent="0.2">
      <c r="A90" s="300" t="s">
        <v>28</v>
      </c>
      <c r="B90" s="240"/>
      <c r="C90" s="402">
        <v>119.91505604275675</v>
      </c>
      <c r="D90" s="402">
        <v>145.60438327809618</v>
      </c>
      <c r="E90" s="402">
        <v>400.1191695145672</v>
      </c>
      <c r="F90" s="402">
        <v>25.857445932120061</v>
      </c>
      <c r="G90" s="402">
        <v>78.348110590203703</v>
      </c>
      <c r="H90" s="402">
        <v>78.780072402487335</v>
      </c>
      <c r="I90" s="402">
        <v>240.52097401886093</v>
      </c>
      <c r="J90" s="403">
        <v>23.291121344224095</v>
      </c>
      <c r="L90" s="38"/>
    </row>
    <row r="91" spans="1:12" s="277" customFormat="1" ht="12.9" customHeight="1" x14ac:dyDescent="0.2">
      <c r="A91" s="300" t="s">
        <v>29</v>
      </c>
      <c r="B91" s="240"/>
      <c r="C91" s="402">
        <v>102.84040600736648</v>
      </c>
      <c r="D91" s="402">
        <v>127.48670045705262</v>
      </c>
      <c r="E91" s="402">
        <v>75.64051072068068</v>
      </c>
      <c r="F91" s="402">
        <v>5.1168167383437924</v>
      </c>
      <c r="G91" s="402">
        <v>38.891830554788591</v>
      </c>
      <c r="H91" s="402">
        <v>70.891871872185192</v>
      </c>
      <c r="I91" s="402">
        <v>298.341979719638</v>
      </c>
      <c r="J91" s="403">
        <v>1.0278753882593894</v>
      </c>
      <c r="L91" s="38"/>
    </row>
    <row r="92" spans="1:12" s="277" customFormat="1" ht="12.9" customHeight="1" x14ac:dyDescent="0.2">
      <c r="A92" s="300" t="s">
        <v>30</v>
      </c>
      <c r="B92" s="240"/>
      <c r="C92" s="402">
        <v>274.34189439932902</v>
      </c>
      <c r="D92" s="402">
        <v>386.80926752932356</v>
      </c>
      <c r="E92" s="402">
        <v>867.44018391963994</v>
      </c>
      <c r="F92" s="402">
        <v>127.49487335072483</v>
      </c>
      <c r="G92" s="402">
        <v>175.03264560917728</v>
      </c>
      <c r="H92" s="402">
        <v>120.67365763450226</v>
      </c>
      <c r="I92" s="402">
        <v>350.36526035254167</v>
      </c>
      <c r="J92" s="403">
        <v>82.549856971521834</v>
      </c>
      <c r="L92" s="38"/>
    </row>
    <row r="93" spans="1:12" s="277" customFormat="1" ht="12.9" customHeight="1" x14ac:dyDescent="0.2">
      <c r="A93" s="47">
        <v>1998</v>
      </c>
      <c r="B93" s="240"/>
      <c r="C93" s="402"/>
      <c r="D93" s="402"/>
      <c r="E93" s="402"/>
      <c r="F93" s="402"/>
      <c r="G93" s="402"/>
      <c r="H93" s="402"/>
      <c r="I93" s="402"/>
      <c r="J93" s="403"/>
      <c r="L93" s="38"/>
    </row>
    <row r="94" spans="1:12" s="277" customFormat="1" x14ac:dyDescent="0.2">
      <c r="A94" s="300" t="s">
        <v>27</v>
      </c>
      <c r="B94" s="240"/>
      <c r="C94" s="402">
        <v>107.29248821949157</v>
      </c>
      <c r="D94" s="402">
        <v>129.56205730506468</v>
      </c>
      <c r="E94" s="402">
        <v>519.29275130074734</v>
      </c>
      <c r="F94" s="402">
        <v>103.23366448018211</v>
      </c>
      <c r="G94" s="402">
        <v>75.780383503554731</v>
      </c>
      <c r="H94" s="402">
        <v>44.044386171036216</v>
      </c>
      <c r="I94" s="402">
        <v>151.14530454979865</v>
      </c>
      <c r="J94" s="403">
        <v>21.883810914871187</v>
      </c>
      <c r="L94" s="38"/>
    </row>
    <row r="95" spans="1:12" s="277" customFormat="1" x14ac:dyDescent="0.2">
      <c r="A95" s="300" t="s">
        <v>28</v>
      </c>
      <c r="B95" s="240"/>
      <c r="C95" s="402">
        <v>60.014170892140342</v>
      </c>
      <c r="D95" s="402">
        <v>54.008077936243957</v>
      </c>
      <c r="E95" s="402">
        <v>265.73988304711975</v>
      </c>
      <c r="F95" s="402">
        <v>34.726925649191031</v>
      </c>
      <c r="G95" s="402">
        <v>45.956683870563282</v>
      </c>
      <c r="H95" s="402">
        <v>49.77606145164669</v>
      </c>
      <c r="I95" s="402">
        <v>132.46714231083828</v>
      </c>
      <c r="J95" s="403">
        <v>27.703534372449113</v>
      </c>
      <c r="L95" s="38"/>
    </row>
    <row r="96" spans="1:12" s="277" customFormat="1" x14ac:dyDescent="0.2">
      <c r="A96" s="300" t="s">
        <v>29</v>
      </c>
      <c r="B96" s="240"/>
      <c r="C96" s="402">
        <v>98.179366095361033</v>
      </c>
      <c r="D96" s="402">
        <v>119.83776825917197</v>
      </c>
      <c r="E96" s="402">
        <v>265.86678027764867</v>
      </c>
      <c r="F96" s="402">
        <v>32.622231277211107</v>
      </c>
      <c r="G96" s="402">
        <v>85.702171062053594</v>
      </c>
      <c r="H96" s="402">
        <v>44.325413001901325</v>
      </c>
      <c r="I96" s="402">
        <v>182.90763901506631</v>
      </c>
      <c r="J96" s="403">
        <v>1.7792943291560768</v>
      </c>
      <c r="L96" s="38"/>
    </row>
    <row r="97" spans="1:12" s="277" customFormat="1" ht="12.9" customHeight="1" x14ac:dyDescent="0.2">
      <c r="A97" s="300" t="s">
        <v>30</v>
      </c>
      <c r="B97" s="240"/>
      <c r="C97" s="402">
        <v>131.01629116588782</v>
      </c>
      <c r="D97" s="402">
        <v>180.06326723818185</v>
      </c>
      <c r="E97" s="402">
        <v>225.33531678043013</v>
      </c>
      <c r="F97" s="402">
        <v>56.866432516465068</v>
      </c>
      <c r="G97" s="402">
        <v>83.636577272349314</v>
      </c>
      <c r="H97" s="402">
        <v>119.32141477175107</v>
      </c>
      <c r="I97" s="402">
        <v>175.26147419957249</v>
      </c>
      <c r="J97" s="403">
        <v>15.070793006817315</v>
      </c>
      <c r="L97" s="38"/>
    </row>
    <row r="98" spans="1:12" s="277" customFormat="1" ht="12.9" customHeight="1" x14ac:dyDescent="0.2">
      <c r="A98" s="47">
        <v>1999</v>
      </c>
      <c r="B98" s="240"/>
      <c r="C98" s="402"/>
      <c r="D98" s="402"/>
      <c r="E98" s="402"/>
      <c r="F98" s="402"/>
      <c r="G98" s="402"/>
      <c r="H98" s="402"/>
      <c r="I98" s="402"/>
      <c r="J98" s="403"/>
      <c r="L98" s="38"/>
    </row>
    <row r="99" spans="1:12" s="277" customFormat="1" x14ac:dyDescent="0.2">
      <c r="A99" s="300" t="s">
        <v>27</v>
      </c>
      <c r="B99" s="240"/>
      <c r="C99" s="402">
        <v>147.96775844854443</v>
      </c>
      <c r="D99" s="402">
        <v>225.933211392814</v>
      </c>
      <c r="E99" s="402">
        <v>632.18614034142263</v>
      </c>
      <c r="F99" s="402">
        <v>15.569954956351509</v>
      </c>
      <c r="G99" s="402">
        <v>95.284297879616759</v>
      </c>
      <c r="H99" s="402">
        <v>84.651173144747986</v>
      </c>
      <c r="I99" s="402">
        <v>149.77255270316277</v>
      </c>
      <c r="J99" s="403">
        <v>20.247043544756281</v>
      </c>
      <c r="L99" s="38"/>
    </row>
    <row r="100" spans="1:12" s="277" customFormat="1" ht="12.75" customHeight="1" x14ac:dyDescent="0.2">
      <c r="A100" s="300" t="s">
        <v>28</v>
      </c>
      <c r="B100" s="240"/>
      <c r="C100" s="402">
        <v>106.57564850336803</v>
      </c>
      <c r="D100" s="402">
        <v>175.06206702640617</v>
      </c>
      <c r="E100" s="402">
        <v>511.79971387114841</v>
      </c>
      <c r="F100" s="402">
        <v>31.697087000234742</v>
      </c>
      <c r="G100" s="402">
        <v>45.311823989065388</v>
      </c>
      <c r="H100" s="402">
        <v>54.69377992552873</v>
      </c>
      <c r="I100" s="402">
        <v>90.690960945970858</v>
      </c>
      <c r="J100" s="403">
        <v>12.174591703727337</v>
      </c>
      <c r="L100" s="38"/>
    </row>
    <row r="101" spans="1:12" s="277" customFormat="1" ht="12.75" customHeight="1" x14ac:dyDescent="0.2">
      <c r="A101" s="300" t="s">
        <v>29</v>
      </c>
      <c r="B101" s="240"/>
      <c r="C101" s="402">
        <v>168.9681205411155</v>
      </c>
      <c r="D101" s="402">
        <v>275.53036902932888</v>
      </c>
      <c r="E101" s="402">
        <v>479.47861018182323</v>
      </c>
      <c r="F101" s="402">
        <v>5.3336446006626064</v>
      </c>
      <c r="G101" s="402">
        <v>53.960659593029014</v>
      </c>
      <c r="H101" s="402">
        <v>80.786960086827449</v>
      </c>
      <c r="I101" s="402">
        <v>233.44830506943563</v>
      </c>
      <c r="J101" s="403">
        <v>7.3591491877548982</v>
      </c>
      <c r="L101" s="38"/>
    </row>
    <row r="102" spans="1:12" s="277" customFormat="1" x14ac:dyDescent="0.2">
      <c r="A102" s="300" t="s">
        <v>30</v>
      </c>
      <c r="B102" s="240"/>
      <c r="C102" s="402">
        <v>175.30453135094351</v>
      </c>
      <c r="D102" s="402">
        <v>271.33986535341893</v>
      </c>
      <c r="E102" s="402">
        <v>336.18316066197906</v>
      </c>
      <c r="F102" s="402">
        <v>31.377469591450417</v>
      </c>
      <c r="G102" s="402">
        <v>158.78276221739748</v>
      </c>
      <c r="H102" s="402">
        <v>76.231165572939688</v>
      </c>
      <c r="I102" s="402">
        <v>152.9909848588226</v>
      </c>
      <c r="J102" s="403">
        <v>2.2314027701059143</v>
      </c>
      <c r="L102" s="38"/>
    </row>
    <row r="103" spans="1:12" s="277" customFormat="1" ht="15" customHeight="1" x14ac:dyDescent="0.2">
      <c r="A103" s="47">
        <v>2000</v>
      </c>
      <c r="B103" s="240"/>
      <c r="C103" s="402"/>
      <c r="D103" s="402"/>
      <c r="E103" s="402"/>
      <c r="F103" s="402"/>
      <c r="G103" s="402"/>
      <c r="H103" s="402"/>
      <c r="I103" s="402"/>
      <c r="J103" s="403"/>
      <c r="L103" s="38"/>
    </row>
    <row r="104" spans="1:12" s="277" customFormat="1" x14ac:dyDescent="0.2">
      <c r="A104" s="300" t="s">
        <v>27</v>
      </c>
      <c r="B104" s="240"/>
      <c r="C104" s="402">
        <v>80.24109554890596</v>
      </c>
      <c r="D104" s="402">
        <v>94.919041375656676</v>
      </c>
      <c r="E104" s="402">
        <v>166.60869718381869</v>
      </c>
      <c r="F104" s="402">
        <v>50.208894106983401</v>
      </c>
      <c r="G104" s="402">
        <v>116.38803636887603</v>
      </c>
      <c r="H104" s="402">
        <v>9.8850742925151636</v>
      </c>
      <c r="I104" s="402">
        <v>83.526681372737187</v>
      </c>
      <c r="J104" s="403">
        <v>7.6158358184285611</v>
      </c>
      <c r="L104" s="38"/>
    </row>
    <row r="105" spans="1:12" s="277" customFormat="1" x14ac:dyDescent="0.2">
      <c r="A105" s="300" t="s">
        <v>28</v>
      </c>
      <c r="B105" s="240"/>
      <c r="C105" s="477">
        <v>50.933142909792082</v>
      </c>
      <c r="D105" s="477">
        <v>91.342846289139629</v>
      </c>
      <c r="E105" s="402">
        <v>170.94521151063628</v>
      </c>
      <c r="F105" s="402">
        <v>8.4949575030671305</v>
      </c>
      <c r="G105" s="402">
        <v>20.252759696595266</v>
      </c>
      <c r="H105" s="402">
        <v>9.9070745198964563</v>
      </c>
      <c r="I105" s="402">
        <v>44.522603374550435</v>
      </c>
      <c r="J105" s="403">
        <v>5.659046282573069</v>
      </c>
      <c r="L105" s="38"/>
    </row>
    <row r="106" spans="1:12" s="277" customFormat="1" x14ac:dyDescent="0.2">
      <c r="A106" s="300" t="s">
        <v>29</v>
      </c>
      <c r="B106" s="240"/>
      <c r="C106" s="477">
        <v>101.88020875094691</v>
      </c>
      <c r="D106" s="477">
        <v>114.75445386999128</v>
      </c>
      <c r="E106" s="402">
        <v>2980.022837434276</v>
      </c>
      <c r="F106" s="402">
        <v>7.7650466602592783</v>
      </c>
      <c r="G106" s="402">
        <v>28.900444077888469</v>
      </c>
      <c r="H106" s="402">
        <v>4.5091499842204863</v>
      </c>
      <c r="I106" s="402">
        <v>90.555181305176873</v>
      </c>
      <c r="J106" s="403">
        <v>0.27702961207734472</v>
      </c>
      <c r="L106" s="38"/>
    </row>
    <row r="107" spans="1:12" ht="15" customHeight="1" x14ac:dyDescent="0.2">
      <c r="A107" s="320" t="s">
        <v>50</v>
      </c>
      <c r="B107" s="321"/>
      <c r="C107" s="297"/>
      <c r="D107" s="298"/>
      <c r="E107" s="298"/>
      <c r="F107" s="298"/>
      <c r="G107" s="298"/>
      <c r="H107" s="298"/>
      <c r="I107" s="298"/>
      <c r="J107" s="298"/>
    </row>
    <row r="108" spans="1:12" x14ac:dyDescent="0.2">
      <c r="A108" s="276" t="s">
        <v>35</v>
      </c>
      <c r="B108" s="48"/>
      <c r="C108" s="48"/>
    </row>
    <row r="110" spans="1:12" x14ac:dyDescent="0.2">
      <c r="C110" s="12">
        <f>SUM(C76:C80)/4</f>
        <v>111.24489988489255</v>
      </c>
    </row>
  </sheetData>
  <phoneticPr fontId="2" type="noConversion"/>
  <printOptions gridLinesSet="0"/>
  <pageMargins left="0.59055118110236204" right="1.9685039370078701" top="0.59055118110236204" bottom="2.4409448818897599" header="0.5" footer="0.5"/>
  <pageSetup paperSize="9" orientation="portrait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32" transitionEvaluation="1">
    <tabColor rgb="FFFFFF00"/>
    <pageSetUpPr fitToPage="1"/>
  </sheetPr>
  <dimension ref="A1:AH69"/>
  <sheetViews>
    <sheetView showGridLines="0" tabSelected="1" showOutlineSymbols="0" zoomScale="70" zoomScaleNormal="70" zoomScaleSheetLayoutView="90" workbookViewId="0">
      <pane xSplit="1" ySplit="4" topLeftCell="C32" activePane="bottomRight" state="frozen"/>
      <selection pane="topRight" activeCell="AW1" sqref="AW1"/>
      <selection pane="bottomLeft" activeCell="A6" sqref="A6"/>
      <selection pane="bottomRight" activeCell="Q58" sqref="Q58"/>
    </sheetView>
  </sheetViews>
  <sheetFormatPr defaultColWidth="9" defaultRowHeight="10.199999999999999" x14ac:dyDescent="0.2"/>
  <cols>
    <col min="1" max="1" width="97.1640625" style="156" customWidth="1"/>
    <col min="2" max="4" width="12.5" style="157" bestFit="1" customWidth="1"/>
    <col min="5" max="20" width="11.1640625" style="156" customWidth="1"/>
    <col min="21" max="21" width="12.1640625" style="156" customWidth="1"/>
    <col min="22" max="24" width="9" style="156"/>
    <col min="25" max="25" width="7" style="156" customWidth="1"/>
    <col min="26" max="16384" width="9" style="156"/>
  </cols>
  <sheetData>
    <row r="1" spans="1:28" ht="19.8" x14ac:dyDescent="0.3">
      <c r="A1" s="867" t="s">
        <v>312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00"/>
      <c r="V1" s="697" t="s">
        <v>300</v>
      </c>
    </row>
    <row r="2" spans="1:28" ht="16.2" thickBot="1" x14ac:dyDescent="0.35">
      <c r="A2" s="683"/>
      <c r="B2" s="684"/>
      <c r="C2" s="684"/>
      <c r="D2" s="684"/>
      <c r="E2" s="682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177"/>
    </row>
    <row r="3" spans="1:28" ht="16.2" thickBot="1" x14ac:dyDescent="0.25">
      <c r="A3" s="739" t="s">
        <v>123</v>
      </c>
      <c r="B3" s="740">
        <v>2021</v>
      </c>
      <c r="C3" s="740">
        <v>2022</v>
      </c>
      <c r="D3" s="740">
        <v>2023</v>
      </c>
      <c r="E3" s="741" t="s">
        <v>212</v>
      </c>
      <c r="F3" s="741" t="s">
        <v>213</v>
      </c>
      <c r="G3" s="741" t="s">
        <v>214</v>
      </c>
      <c r="H3" s="741" t="s">
        <v>215</v>
      </c>
      <c r="I3" s="741" t="s">
        <v>216</v>
      </c>
      <c r="J3" s="741" t="s">
        <v>217</v>
      </c>
      <c r="K3" s="741" t="s">
        <v>218</v>
      </c>
      <c r="L3" s="741" t="s">
        <v>219</v>
      </c>
      <c r="M3" s="741" t="s">
        <v>283</v>
      </c>
      <c r="N3" s="741" t="s">
        <v>284</v>
      </c>
      <c r="O3" s="741" t="s">
        <v>287</v>
      </c>
      <c r="P3" s="741" t="s">
        <v>301</v>
      </c>
      <c r="Q3" s="741" t="s">
        <v>303</v>
      </c>
      <c r="R3" s="741" t="s">
        <v>304</v>
      </c>
      <c r="S3" s="741" t="s">
        <v>306</v>
      </c>
      <c r="T3" s="741" t="s">
        <v>313</v>
      </c>
      <c r="U3" s="820" t="s">
        <v>315</v>
      </c>
      <c r="V3" s="157"/>
    </row>
    <row r="4" spans="1:28" s="177" customFormat="1" ht="15.6" x14ac:dyDescent="0.3">
      <c r="A4" s="685"/>
      <c r="B4" s="686"/>
      <c r="C4" s="686"/>
      <c r="D4" s="686"/>
      <c r="E4" s="687"/>
      <c r="F4" s="687"/>
      <c r="G4" s="687"/>
      <c r="H4" s="687"/>
      <c r="I4" s="687"/>
      <c r="J4" s="687"/>
      <c r="K4" s="687"/>
      <c r="L4" s="687"/>
      <c r="M4" s="687"/>
      <c r="N4" s="790"/>
      <c r="O4" s="687"/>
      <c r="P4" s="687"/>
      <c r="Q4" s="687"/>
      <c r="R4" s="790"/>
      <c r="S4" s="790"/>
      <c r="T4" s="687"/>
      <c r="U4" s="821"/>
    </row>
    <row r="5" spans="1:28" ht="18.75" customHeight="1" x14ac:dyDescent="0.3">
      <c r="A5" s="688" t="str">
        <f>[10]Database!$B$1</f>
        <v>All items</v>
      </c>
      <c r="B5" s="816">
        <f>H5</f>
        <v>103.55503264796431</v>
      </c>
      <c r="C5" s="816">
        <f>L5</f>
        <v>116.60489484978311</v>
      </c>
      <c r="D5" s="816">
        <f>P5</f>
        <v>125.29115375362232</v>
      </c>
      <c r="E5" s="689">
        <f>[11]Ec_CPI!$K$9</f>
        <v>98.893563913240214</v>
      </c>
      <c r="F5" s="689">
        <f>[11]Ec_CPI!$N$9</f>
        <v>99.612839103160468</v>
      </c>
      <c r="G5" s="689">
        <f>[11]Ec_CPI!$Q$9</f>
        <v>100.00152103053041</v>
      </c>
      <c r="H5" s="689">
        <f>[11]Ec_CPI!$T$9</f>
        <v>103.55503264796431</v>
      </c>
      <c r="I5" s="689">
        <f>[11]Ec_CPI!$W$9</f>
        <v>104.84071059414981</v>
      </c>
      <c r="J5" s="689">
        <f>[11]Ec_CPI!$Z$9</f>
        <v>109.47136845306615</v>
      </c>
      <c r="K5" s="689">
        <f>[11]Ec_CPI!$AC$9</f>
        <v>114.03745246266249</v>
      </c>
      <c r="L5" s="689">
        <f>[11]Ec_CPI!$AF$9</f>
        <v>116.60489484978311</v>
      </c>
      <c r="M5" s="689">
        <f>[11]Ec_CPI!$AI$9</f>
        <v>116.37802276200401</v>
      </c>
      <c r="N5" s="689">
        <f>[11]Ec_CPI!$AL$9</f>
        <v>124.46552857362911</v>
      </c>
      <c r="O5" s="689">
        <f>[11]Ec_CPI!$AO$9</f>
        <v>124.9150650826126</v>
      </c>
      <c r="P5" s="689">
        <f>[11]Ec_CPI!$AR$9</f>
        <v>125.29115375362232</v>
      </c>
      <c r="Q5" s="689">
        <f>[11]Ec_CPI!$AU$9</f>
        <v>125.18665388280161</v>
      </c>
      <c r="R5" s="689">
        <f>[11]Ec_CPI!$AX$9</f>
        <v>132.41932793699749</v>
      </c>
      <c r="S5" s="689">
        <f>[11]Ec_CPI!$BA$9</f>
        <v>126.22508260386849</v>
      </c>
      <c r="T5" s="689">
        <f>[11]Ec_CPI!$BD$9</f>
        <v>132.85545577061853</v>
      </c>
      <c r="U5" s="822">
        <f>[11]Ec_CPI!$BG$9</f>
        <v>129.34275654075395</v>
      </c>
    </row>
    <row r="6" spans="1:28" ht="18.75" customHeight="1" x14ac:dyDescent="0.3">
      <c r="A6" s="688" t="s">
        <v>176</v>
      </c>
      <c r="B6" s="816">
        <f t="shared" ref="B6:B19" si="0">H6</f>
        <v>105.99507001150712</v>
      </c>
      <c r="C6" s="816">
        <f t="shared" ref="C6:C19" si="1">L6</f>
        <v>119.69814968698202</v>
      </c>
      <c r="D6" s="816">
        <f t="shared" ref="D6:D19" si="2">P6</f>
        <v>131.20593011991261</v>
      </c>
      <c r="E6" s="689">
        <f>[11]Ec_CPI!$K11</f>
        <v>99.700635038396996</v>
      </c>
      <c r="F6" s="689">
        <f>[11]Ec_CPI!$N11</f>
        <v>100.47908042544584</v>
      </c>
      <c r="G6" s="689">
        <f>[11]Ec_CPI!$Q11</f>
        <v>100.00000000000009</v>
      </c>
      <c r="H6" s="689">
        <f>[11]Ec_CPI!$T11</f>
        <v>105.99507001150712</v>
      </c>
      <c r="I6" s="689">
        <f>[11]Ec_CPI!$W11</f>
        <v>106.37096982970948</v>
      </c>
      <c r="J6" s="689">
        <f>[11]Ec_CPI!$Z11</f>
        <v>111.35734030051243</v>
      </c>
      <c r="K6" s="689">
        <f>[11]Ec_CPI!$AC11</f>
        <v>115.72425007518949</v>
      </c>
      <c r="L6" s="689">
        <f>[11]Ec_CPI!$AF11</f>
        <v>119.69814968698202</v>
      </c>
      <c r="M6" s="689">
        <f>[11]Ec_CPI!$AI11</f>
        <v>121.66756787896789</v>
      </c>
      <c r="N6" s="689">
        <f>[11]Ec_CPI!$AL11</f>
        <v>132.5268698818841</v>
      </c>
      <c r="O6" s="689">
        <f>[11]Ec_CPI!$AO11</f>
        <v>131.89014025954572</v>
      </c>
      <c r="P6" s="689">
        <f>[11]Ec_CPI!$AR11</f>
        <v>131.20593011991261</v>
      </c>
      <c r="Q6" s="689">
        <f>[11]Ec_CPI!$AU11</f>
        <v>130.32640777760571</v>
      </c>
      <c r="R6" s="689">
        <f>[11]Ec_CPI!$AX11</f>
        <v>148.15275332501537</v>
      </c>
      <c r="S6" s="689">
        <f>[11]Ec_CPI!$BA11</f>
        <v>134.10236164556798</v>
      </c>
      <c r="T6" s="689">
        <f>[11]Ec_CPI!$BD11</f>
        <v>143.58997294972568</v>
      </c>
      <c r="U6" s="822">
        <f>[11]Ec_CPI!$BG11</f>
        <v>131.80335127387022</v>
      </c>
    </row>
    <row r="7" spans="1:28" ht="18.75" customHeight="1" x14ac:dyDescent="0.3">
      <c r="A7" s="688" t="s">
        <v>177</v>
      </c>
      <c r="B7" s="816">
        <f t="shared" si="0"/>
        <v>98.75190167614744</v>
      </c>
      <c r="C7" s="816">
        <f t="shared" si="1"/>
        <v>102.5811107210188</v>
      </c>
      <c r="D7" s="816">
        <f t="shared" si="2"/>
        <v>106.48428772795977</v>
      </c>
      <c r="E7" s="689">
        <f>[11]Ec_CPI!$K12</f>
        <v>101.68449490083589</v>
      </c>
      <c r="F7" s="689">
        <f>[11]Ec_CPI!$N12</f>
        <v>98.940663001296684</v>
      </c>
      <c r="G7" s="689">
        <f>[11]Ec_CPI!$Q12</f>
        <v>100</v>
      </c>
      <c r="H7" s="689">
        <f>[11]Ec_CPI!$T12</f>
        <v>98.75190167614744</v>
      </c>
      <c r="I7" s="689">
        <f>[11]Ec_CPI!$W12</f>
        <v>99.343278493740129</v>
      </c>
      <c r="J7" s="689">
        <f>[11]Ec_CPI!$Z12</f>
        <v>101.32127960296202</v>
      </c>
      <c r="K7" s="689">
        <f>[11]Ec_CPI!$AC12</f>
        <v>102.31232047444827</v>
      </c>
      <c r="L7" s="689">
        <f>[11]Ec_CPI!$AF12</f>
        <v>102.5811107210188</v>
      </c>
      <c r="M7" s="689">
        <f>[11]Ec_CPI!$AI12</f>
        <v>101.86478627084539</v>
      </c>
      <c r="N7" s="689">
        <f>[11]Ec_CPI!$AL12</f>
        <v>101.87651782636715</v>
      </c>
      <c r="O7" s="689">
        <f>[11]Ec_CPI!$AO12</f>
        <v>102.49174177800155</v>
      </c>
      <c r="P7" s="689">
        <f>[11]Ec_CPI!$AR12</f>
        <v>106.48428772795977</v>
      </c>
      <c r="Q7" s="689">
        <f>[11]Ec_CPI!$AU12</f>
        <v>106.50464327053859</v>
      </c>
      <c r="R7" s="689">
        <f>[11]Ec_CPI!$AX12</f>
        <v>107.98231083610798</v>
      </c>
      <c r="S7" s="689">
        <f>[11]Ec_CPI!$BA12</f>
        <v>124.70147417080915</v>
      </c>
      <c r="T7" s="689">
        <f>[11]Ec_CPI!$BD12</f>
        <v>129.27041922593725</v>
      </c>
      <c r="U7" s="822">
        <f>[11]Ec_CPI!$BG12</f>
        <v>139.84759603790528</v>
      </c>
    </row>
    <row r="8" spans="1:28" ht="18.75" customHeight="1" x14ac:dyDescent="0.3">
      <c r="A8" s="688" t="s">
        <v>129</v>
      </c>
      <c r="B8" s="816">
        <f t="shared" si="0"/>
        <v>100.00000000000003</v>
      </c>
      <c r="C8" s="816">
        <f t="shared" si="1"/>
        <v>101.45391077051022</v>
      </c>
      <c r="D8" s="816">
        <f t="shared" si="2"/>
        <v>108.15972125281921</v>
      </c>
      <c r="E8" s="689">
        <f>[11]Ec_CPI!$K13</f>
        <v>99.699384678102177</v>
      </c>
      <c r="F8" s="689">
        <f>[11]Ec_CPI!$N13</f>
        <v>99.790215678227113</v>
      </c>
      <c r="G8" s="689">
        <f>[11]Ec_CPI!$Q13</f>
        <v>100.00000000000003</v>
      </c>
      <c r="H8" s="689">
        <f>[11]Ec_CPI!$T13</f>
        <v>100.00000000000003</v>
      </c>
      <c r="I8" s="689">
        <f>[11]Ec_CPI!$W13</f>
        <v>100.30460119725842</v>
      </c>
      <c r="J8" s="689">
        <f>[11]Ec_CPI!$Z13</f>
        <v>102.36016352346678</v>
      </c>
      <c r="K8" s="689">
        <f>[11]Ec_CPI!$AC13</f>
        <v>102.50437716523835</v>
      </c>
      <c r="L8" s="689">
        <f>[11]Ec_CPI!$AF13</f>
        <v>101.45391077051022</v>
      </c>
      <c r="M8" s="689">
        <f>[11]Ec_CPI!$AI13</f>
        <v>99.098249939210845</v>
      </c>
      <c r="N8" s="689">
        <f>[11]Ec_CPI!$AL13</f>
        <v>109.6318113527405</v>
      </c>
      <c r="O8" s="689">
        <f>[11]Ec_CPI!$AO13</f>
        <v>109.92983259740954</v>
      </c>
      <c r="P8" s="689">
        <f>[11]Ec_CPI!$AR13</f>
        <v>108.15972125281921</v>
      </c>
      <c r="Q8" s="689">
        <f>[11]Ec_CPI!$AU13</f>
        <v>106.91941835573581</v>
      </c>
      <c r="R8" s="689">
        <f>[11]Ec_CPI!$AX13</f>
        <v>105.47328945427449</v>
      </c>
      <c r="S8" s="689">
        <f>[11]Ec_CPI!$BA13</f>
        <v>111.35782393587353</v>
      </c>
      <c r="T8" s="689">
        <f>[11]Ec_CPI!$BD13</f>
        <v>117.72189089520712</v>
      </c>
      <c r="U8" s="822">
        <f>[11]Ec_CPI!$BG13</f>
        <v>120.1558731490999</v>
      </c>
      <c r="X8" s="157"/>
      <c r="Y8" s="157"/>
    </row>
    <row r="9" spans="1:28" ht="18.75" customHeight="1" x14ac:dyDescent="0.3">
      <c r="A9" s="688" t="s">
        <v>178</v>
      </c>
      <c r="B9" s="816">
        <f t="shared" si="0"/>
        <v>105.83718910921193</v>
      </c>
      <c r="C9" s="816">
        <f t="shared" si="1"/>
        <v>139.85207347472547</v>
      </c>
      <c r="D9" s="816">
        <f t="shared" si="2"/>
        <v>123.1308029888724</v>
      </c>
      <c r="E9" s="689">
        <f>[11]Ec_CPI!$K14</f>
        <v>90.000881549727481</v>
      </c>
      <c r="F9" s="689">
        <f>[11]Ec_CPI!$N14</f>
        <v>93.250439931753633</v>
      </c>
      <c r="G9" s="689">
        <f>[11]Ec_CPI!$Q14</f>
        <v>100.02295552697413</v>
      </c>
      <c r="H9" s="689">
        <f>[11]Ec_CPI!$T14</f>
        <v>105.83718910921193</v>
      </c>
      <c r="I9" s="689">
        <f>[11]Ec_CPI!$W14</f>
        <v>114.08536167962349</v>
      </c>
      <c r="J9" s="689">
        <f>[11]Ec_CPI!$Z14</f>
        <v>126.18680340614938</v>
      </c>
      <c r="K9" s="689">
        <f>[11]Ec_CPI!$AC14</f>
        <v>137.48801046542556</v>
      </c>
      <c r="L9" s="689">
        <f>[11]Ec_CPI!$AF14</f>
        <v>139.85207347472547</v>
      </c>
      <c r="M9" s="689">
        <f>[11]Ec_CPI!$AI14</f>
        <v>124.55039561539361</v>
      </c>
      <c r="N9" s="689">
        <f>[11]Ec_CPI!$AL14</f>
        <v>114.73596662890408</v>
      </c>
      <c r="O9" s="689">
        <f>[11]Ec_CPI!$AO14</f>
        <v>117.6833498264326</v>
      </c>
      <c r="P9" s="689">
        <f>[11]Ec_CPI!$AR14</f>
        <v>123.1308029888724</v>
      </c>
      <c r="Q9" s="689">
        <f>[11]Ec_CPI!$AU14</f>
        <v>127.75152538066401</v>
      </c>
      <c r="R9" s="689">
        <f>[11]Ec_CPI!$AX14</f>
        <v>116.02697520815393</v>
      </c>
      <c r="S9" s="689">
        <f>[11]Ec_CPI!$BA14</f>
        <v>119.44484789997883</v>
      </c>
      <c r="T9" s="689">
        <f>[11]Ec_CPI!$BD14</f>
        <v>113.99555739656412</v>
      </c>
      <c r="U9" s="822">
        <f>[11]Ec_CPI!$BG14</f>
        <v>114.15356212086789</v>
      </c>
      <c r="W9" s="157"/>
    </row>
    <row r="10" spans="1:28" ht="18.75" customHeight="1" x14ac:dyDescent="0.3">
      <c r="A10" s="688" t="s">
        <v>179</v>
      </c>
      <c r="B10" s="816">
        <f t="shared" si="0"/>
        <v>101.12476854502373</v>
      </c>
      <c r="C10" s="816">
        <f t="shared" si="1"/>
        <v>105.11139653577612</v>
      </c>
      <c r="D10" s="816">
        <f t="shared" si="2"/>
        <v>113.19001662361524</v>
      </c>
      <c r="E10" s="689">
        <f>[11]Ec_CPI!$K15</f>
        <v>98.748885085727792</v>
      </c>
      <c r="F10" s="689">
        <f>[11]Ec_CPI!$N15</f>
        <v>98.776876825551142</v>
      </c>
      <c r="G10" s="689">
        <f>[11]Ec_CPI!$Q15</f>
        <v>99.999999999999972</v>
      </c>
      <c r="H10" s="689">
        <f>[11]Ec_CPI!$T15</f>
        <v>101.12476854502373</v>
      </c>
      <c r="I10" s="689">
        <f>[11]Ec_CPI!$W15</f>
        <v>102.02828425671771</v>
      </c>
      <c r="J10" s="689">
        <f>[11]Ec_CPI!$Z15</f>
        <v>104.95110593503681</v>
      </c>
      <c r="K10" s="689">
        <f>[11]Ec_CPI!$AC15</f>
        <v>104.30725033955339</v>
      </c>
      <c r="L10" s="689">
        <f>[11]Ec_CPI!$AF15</f>
        <v>105.11139653577612</v>
      </c>
      <c r="M10" s="689">
        <f>[11]Ec_CPI!$AI15</f>
        <v>106.36390379069486</v>
      </c>
      <c r="N10" s="689">
        <f>[11]Ec_CPI!$AL15</f>
        <v>109.09188489148987</v>
      </c>
      <c r="O10" s="689">
        <f>[11]Ec_CPI!$AO15</f>
        <v>113.44649000826617</v>
      </c>
      <c r="P10" s="689">
        <f>[11]Ec_CPI!$AR15</f>
        <v>113.19001662361524</v>
      </c>
      <c r="Q10" s="689">
        <f>[11]Ec_CPI!$AU15</f>
        <v>113.45994320023695</v>
      </c>
      <c r="R10" s="689">
        <f>[11]Ec_CPI!$AX15</f>
        <v>116.36718546377118</v>
      </c>
      <c r="S10" s="689">
        <f>[11]Ec_CPI!$BA15</f>
        <v>119.33040053044567</v>
      </c>
      <c r="T10" s="689">
        <f>[11]Ec_CPI!$BD15</f>
        <v>129.06103304921291</v>
      </c>
      <c r="U10" s="822">
        <f>[11]Ec_CPI!$BG15</f>
        <v>130.15970641765972</v>
      </c>
    </row>
    <row r="11" spans="1:28" ht="18.75" customHeight="1" x14ac:dyDescent="0.3">
      <c r="A11" s="688" t="s">
        <v>180</v>
      </c>
      <c r="B11" s="816">
        <f t="shared" si="0"/>
        <v>100</v>
      </c>
      <c r="C11" s="816">
        <f t="shared" si="1"/>
        <v>129.57088090025422</v>
      </c>
      <c r="D11" s="816">
        <f t="shared" si="2"/>
        <v>129.57088090025422</v>
      </c>
      <c r="E11" s="689">
        <f>[11]Ec_CPI!$K16</f>
        <v>100</v>
      </c>
      <c r="F11" s="689">
        <f>[11]Ec_CPI!$N16</f>
        <v>100</v>
      </c>
      <c r="G11" s="689">
        <f>[11]Ec_CPI!$Q16</f>
        <v>100</v>
      </c>
      <c r="H11" s="689">
        <f>[11]Ec_CPI!$T16</f>
        <v>100</v>
      </c>
      <c r="I11" s="689">
        <f>[11]Ec_CPI!$W16</f>
        <v>100</v>
      </c>
      <c r="J11" s="689">
        <f>[11]Ec_CPI!$Z16</f>
        <v>100</v>
      </c>
      <c r="K11" s="689">
        <f>[11]Ec_CPI!$AC16</f>
        <v>129.57088090025422</v>
      </c>
      <c r="L11" s="689">
        <f>[11]Ec_CPI!$AF16</f>
        <v>129.57088090025422</v>
      </c>
      <c r="M11" s="689">
        <f>[11]Ec_CPI!$AI16</f>
        <v>129.57088090025422</v>
      </c>
      <c r="N11" s="689">
        <f>[11]Ec_CPI!$AL16</f>
        <v>129.57088090025422</v>
      </c>
      <c r="O11" s="689">
        <f>[11]Ec_CPI!$AO16</f>
        <v>129.57088090025422</v>
      </c>
      <c r="P11" s="689">
        <f>[11]Ec_CPI!$AR16</f>
        <v>129.57088090025422</v>
      </c>
      <c r="Q11" s="689">
        <f>[11]Ec_CPI!$AU16</f>
        <v>129.57088090025422</v>
      </c>
      <c r="R11" s="689">
        <f>[11]Ec_CPI!$AX16</f>
        <v>129.57088090025422</v>
      </c>
      <c r="S11" s="689">
        <f>[11]Ec_CPI!$BA16</f>
        <v>128.07518321930215</v>
      </c>
      <c r="T11" s="689">
        <f>[11]Ec_CPI!$BD16</f>
        <v>128.07518321930215</v>
      </c>
      <c r="U11" s="822">
        <f>[11]Ec_CPI!$BG16</f>
        <v>128.69758883125613</v>
      </c>
      <c r="V11" s="157"/>
      <c r="X11" s="157"/>
    </row>
    <row r="12" spans="1:28" ht="18.75" customHeight="1" x14ac:dyDescent="0.3">
      <c r="A12" s="688" t="s">
        <v>181</v>
      </c>
      <c r="B12" s="816">
        <f t="shared" si="0"/>
        <v>103.55421599874795</v>
      </c>
      <c r="C12" s="816">
        <f t="shared" si="1"/>
        <v>116.95440312224237</v>
      </c>
      <c r="D12" s="816">
        <f t="shared" si="2"/>
        <v>123.24666761257515</v>
      </c>
      <c r="E12" s="689">
        <f>[11]Ec_CPI!$K17</f>
        <v>97.57966004098364</v>
      </c>
      <c r="F12" s="689">
        <f>[11]Ec_CPI!$N17</f>
        <v>99.568949050825594</v>
      </c>
      <c r="G12" s="689">
        <f>[11]Ec_CPI!$Q17</f>
        <v>99.999999999999986</v>
      </c>
      <c r="H12" s="689">
        <f>[11]Ec_CPI!$T17</f>
        <v>103.55421599874795</v>
      </c>
      <c r="I12" s="689">
        <f>[11]Ec_CPI!$W17</f>
        <v>106.73125206532319</v>
      </c>
      <c r="J12" s="689">
        <f>[11]Ec_CPI!$Z17</f>
        <v>116.61399326957165</v>
      </c>
      <c r="K12" s="689">
        <f>[11]Ec_CPI!$AC17</f>
        <v>116.58130559761337</v>
      </c>
      <c r="L12" s="689">
        <f>[11]Ec_CPI!$AF17</f>
        <v>116.95440312224237</v>
      </c>
      <c r="M12" s="689">
        <f>[11]Ec_CPI!$AI17</f>
        <v>115.74856607905804</v>
      </c>
      <c r="N12" s="689">
        <f>[11]Ec_CPI!$AL17</f>
        <v>120.38820408262181</v>
      </c>
      <c r="O12" s="689">
        <f>[11]Ec_CPI!$AO17</f>
        <v>122.25806657331057</v>
      </c>
      <c r="P12" s="689">
        <f>[11]Ec_CPI!$AR17</f>
        <v>123.24666761257515</v>
      </c>
      <c r="Q12" s="689">
        <f>[11]Ec_CPI!$AU17</f>
        <v>122.61880219539631</v>
      </c>
      <c r="R12" s="689">
        <f>[11]Ec_CPI!$AX17</f>
        <v>123.57357165220502</v>
      </c>
      <c r="S12" s="689">
        <f>[11]Ec_CPI!$BA17</f>
        <v>122.70425758205326</v>
      </c>
      <c r="T12" s="689">
        <f>[11]Ec_CPI!$BD17</f>
        <v>133.28151219025312</v>
      </c>
      <c r="U12" s="822">
        <f>[11]Ec_CPI!$BG17</f>
        <v>123.44549709280899</v>
      </c>
      <c r="AA12" s="157"/>
      <c r="AB12" s="157"/>
    </row>
    <row r="13" spans="1:28" ht="18.75" customHeight="1" x14ac:dyDescent="0.3">
      <c r="A13" s="688" t="s">
        <v>182</v>
      </c>
      <c r="B13" s="816">
        <f t="shared" si="0"/>
        <v>99.895270677377425</v>
      </c>
      <c r="C13" s="816">
        <f t="shared" si="1"/>
        <v>116.46088485354589</v>
      </c>
      <c r="D13" s="816">
        <f t="shared" si="2"/>
        <v>116.56539479449455</v>
      </c>
      <c r="E13" s="689">
        <f>[11]Ec_CPI!$K18</f>
        <v>101.08644099677187</v>
      </c>
      <c r="F13" s="689">
        <f>[11]Ec_CPI!$N18</f>
        <v>100.58059716262322</v>
      </c>
      <c r="G13" s="689">
        <f>[11]Ec_CPI!$Q18</f>
        <v>99.999999999999986</v>
      </c>
      <c r="H13" s="689">
        <f>[11]Ec_CPI!$T18</f>
        <v>99.895270677377425</v>
      </c>
      <c r="I13" s="689">
        <f>[11]Ec_CPI!$W18</f>
        <v>100.1713588251514</v>
      </c>
      <c r="J13" s="689">
        <f>[11]Ec_CPI!$Z18</f>
        <v>99.947178324490324</v>
      </c>
      <c r="K13" s="689">
        <f>[11]Ec_CPI!$AC18</f>
        <v>99.791985786644972</v>
      </c>
      <c r="L13" s="689">
        <f>[11]Ec_CPI!$AF18</f>
        <v>116.46088485354589</v>
      </c>
      <c r="M13" s="689">
        <f>[11]Ec_CPI!$AI18</f>
        <v>116.41778801378042</v>
      </c>
      <c r="N13" s="689">
        <f>[11]Ec_CPI!$AL18</f>
        <v>116.41986546990172</v>
      </c>
      <c r="O13" s="689">
        <f>[11]Ec_CPI!$AO18</f>
        <v>116.26243282063544</v>
      </c>
      <c r="P13" s="689">
        <f>[11]Ec_CPI!$AR18</f>
        <v>116.56539479449455</v>
      </c>
      <c r="Q13" s="689">
        <f>[11]Ec_CPI!$AU18</f>
        <v>116.39354551819991</v>
      </c>
      <c r="R13" s="689">
        <f>[11]Ec_CPI!$AX18</f>
        <v>116.31842953794451</v>
      </c>
      <c r="S13" s="689">
        <f>[11]Ec_CPI!$BA18</f>
        <v>115.92010151297418</v>
      </c>
      <c r="T13" s="689">
        <f>[11]Ec_CPI!$BD18</f>
        <v>116.12650119339176</v>
      </c>
      <c r="U13" s="822">
        <f>[11]Ec_CPI!$BG18</f>
        <v>115.64292654822039</v>
      </c>
      <c r="AB13" s="157"/>
    </row>
    <row r="14" spans="1:28" ht="18.75" customHeight="1" x14ac:dyDescent="0.3">
      <c r="A14" s="688" t="s">
        <v>183</v>
      </c>
      <c r="B14" s="816">
        <f t="shared" si="0"/>
        <v>102.17937561327642</v>
      </c>
      <c r="C14" s="816">
        <f t="shared" si="1"/>
        <v>105.23669989922372</v>
      </c>
      <c r="D14" s="816">
        <f t="shared" si="2"/>
        <v>111.89281826820105</v>
      </c>
      <c r="E14" s="689">
        <f>[11]Ec_CPI!$K19</f>
        <v>99.608265470172157</v>
      </c>
      <c r="F14" s="689">
        <f>[11]Ec_CPI!$N19</f>
        <v>99.592379627925951</v>
      </c>
      <c r="G14" s="689">
        <f>[11]Ec_CPI!$Q19</f>
        <v>100</v>
      </c>
      <c r="H14" s="689">
        <f>[11]Ec_CPI!$T19</f>
        <v>102.17937561327642</v>
      </c>
      <c r="I14" s="689">
        <f>[11]Ec_CPI!$W19</f>
        <v>102.24569001950286</v>
      </c>
      <c r="J14" s="689">
        <f>[11]Ec_CPI!$Z19</f>
        <v>104.65314508350647</v>
      </c>
      <c r="K14" s="689">
        <f>[11]Ec_CPI!$AC19</f>
        <v>105.53539237827954</v>
      </c>
      <c r="L14" s="689">
        <f>[11]Ec_CPI!$AF19</f>
        <v>105.23669989922372</v>
      </c>
      <c r="M14" s="689">
        <f>[11]Ec_CPI!$AI19</f>
        <v>105.73100026483499</v>
      </c>
      <c r="N14" s="689">
        <f>[11]Ec_CPI!$AL19</f>
        <v>111.67919157092092</v>
      </c>
      <c r="O14" s="689">
        <f>[11]Ec_CPI!$AO19</f>
        <v>111.88125096691644</v>
      </c>
      <c r="P14" s="689">
        <f>[11]Ec_CPI!$AR19</f>
        <v>111.89281826820105</v>
      </c>
      <c r="Q14" s="689">
        <f>[11]Ec_CPI!$AU19</f>
        <v>113.03213736665541</v>
      </c>
      <c r="R14" s="689">
        <f>[11]Ec_CPI!$AX19</f>
        <v>113.46103952636382</v>
      </c>
      <c r="S14" s="689">
        <f>[11]Ec_CPI!$BA19</f>
        <v>113.46103952636382</v>
      </c>
      <c r="T14" s="689">
        <f>[11]Ec_CPI!$BD19</f>
        <v>120.16263456073348</v>
      </c>
      <c r="U14" s="822">
        <f>[11]Ec_CPI!$BG19</f>
        <v>123.26897824169987</v>
      </c>
      <c r="V14" s="157"/>
      <c r="Z14" s="157"/>
      <c r="AA14" s="157"/>
    </row>
    <row r="15" spans="1:28" ht="18.75" customHeight="1" x14ac:dyDescent="0.3">
      <c r="A15" s="688" t="s">
        <v>184</v>
      </c>
      <c r="B15" s="816">
        <f t="shared" si="0"/>
        <v>99.999999999999972</v>
      </c>
      <c r="C15" s="816">
        <f t="shared" si="1"/>
        <v>99.999999999999972</v>
      </c>
      <c r="D15" s="816">
        <f t="shared" si="2"/>
        <v>106.79378143185876</v>
      </c>
      <c r="E15" s="689">
        <f>[11]Ec_CPI!$K20</f>
        <v>99.999999999999972</v>
      </c>
      <c r="F15" s="689">
        <f>[11]Ec_CPI!$N20</f>
        <v>99.999999999999972</v>
      </c>
      <c r="G15" s="689">
        <f>[11]Ec_CPI!$Q20</f>
        <v>99.999999999999972</v>
      </c>
      <c r="H15" s="689">
        <f>[11]Ec_CPI!$T20</f>
        <v>99.999999999999972</v>
      </c>
      <c r="I15" s="689">
        <f>[11]Ec_CPI!$W20</f>
        <v>99.999999999999972</v>
      </c>
      <c r="J15" s="689">
        <f>[11]Ec_CPI!$Z20</f>
        <v>99.999999999999972</v>
      </c>
      <c r="K15" s="689">
        <f>[11]Ec_CPI!$AC20</f>
        <v>99.999999999999972</v>
      </c>
      <c r="L15" s="689">
        <f>[11]Ec_CPI!$AF20</f>
        <v>99.999999999999972</v>
      </c>
      <c r="M15" s="689">
        <f>[11]Ec_CPI!$AI20</f>
        <v>106.79378143185876</v>
      </c>
      <c r="N15" s="689">
        <f>[11]Ec_CPI!$AL20</f>
        <v>106.79378143185876</v>
      </c>
      <c r="O15" s="689">
        <f>[11]Ec_CPI!$AO20</f>
        <v>106.79378143185876</v>
      </c>
      <c r="P15" s="689">
        <f>[11]Ec_CPI!$AR20</f>
        <v>106.79378143185876</v>
      </c>
      <c r="Q15" s="689">
        <f>[11]Ec_CPI!$AU20</f>
        <v>103.76344167779503</v>
      </c>
      <c r="R15" s="689">
        <f>[11]Ec_CPI!$AX20</f>
        <v>103.76344167779503</v>
      </c>
      <c r="S15" s="689">
        <f>[11]Ec_CPI!$BA20</f>
        <v>103.76344167779503</v>
      </c>
      <c r="T15" s="689">
        <f>[11]Ec_CPI!$BD20</f>
        <v>103.76344167779503</v>
      </c>
      <c r="U15" s="822">
        <f>[11]Ec_CPI!$BG20</f>
        <v>106.04794709848716</v>
      </c>
    </row>
    <row r="16" spans="1:28" ht="18.75" customHeight="1" x14ac:dyDescent="0.3">
      <c r="A16" s="688" t="s">
        <v>185</v>
      </c>
      <c r="B16" s="816">
        <f t="shared" si="0"/>
        <v>99.999999999999986</v>
      </c>
      <c r="C16" s="816">
        <f t="shared" si="1"/>
        <v>111.66459711038095</v>
      </c>
      <c r="D16" s="816">
        <f t="shared" si="2"/>
        <v>132.36058403526852</v>
      </c>
      <c r="E16" s="689">
        <f>[11]Ec_CPI!$K21</f>
        <v>99.999999999999986</v>
      </c>
      <c r="F16" s="689">
        <f>[11]Ec_CPI!$N21</f>
        <v>99.999999999999986</v>
      </c>
      <c r="G16" s="689">
        <f>[11]Ec_CPI!$Q21</f>
        <v>99.999999999999986</v>
      </c>
      <c r="H16" s="689">
        <f>[11]Ec_CPI!$T21</f>
        <v>99.999999999999986</v>
      </c>
      <c r="I16" s="689">
        <f>[11]Ec_CPI!$W21</f>
        <v>99.999999999999986</v>
      </c>
      <c r="J16" s="689">
        <f>[11]Ec_CPI!$Z21</f>
        <v>99.999999999999986</v>
      </c>
      <c r="K16" s="689">
        <f>[11]Ec_CPI!$AC21</f>
        <v>111.66459711038095</v>
      </c>
      <c r="L16" s="689">
        <f>[11]Ec_CPI!$AF21</f>
        <v>111.66459711038095</v>
      </c>
      <c r="M16" s="689">
        <f>[11]Ec_CPI!$AI21</f>
        <v>111.66459711038095</v>
      </c>
      <c r="N16" s="689">
        <f>[11]Ec_CPI!$AL21</f>
        <v>132.36058403526852</v>
      </c>
      <c r="O16" s="689">
        <f>[11]Ec_CPI!$AO21</f>
        <v>132.36058403526852</v>
      </c>
      <c r="P16" s="689">
        <f>[11]Ec_CPI!$AR21</f>
        <v>132.36058403526852</v>
      </c>
      <c r="Q16" s="689">
        <f>[11]Ec_CPI!$AU21</f>
        <v>132.36058403526852</v>
      </c>
      <c r="R16" s="689">
        <f>[11]Ec_CPI!$AX21</f>
        <v>132.36058403526852</v>
      </c>
      <c r="S16" s="689">
        <f>[11]Ec_CPI!$BA21</f>
        <v>121.01565854412819</v>
      </c>
      <c r="T16" s="689">
        <f>[11]Ec_CPI!$BD21</f>
        <v>124.17883073765019</v>
      </c>
      <c r="U16" s="822">
        <f>[11]Ec_CPI!$BG21</f>
        <v>137.95661175667294</v>
      </c>
    </row>
    <row r="17" spans="1:23" ht="18.75" customHeight="1" x14ac:dyDescent="0.3">
      <c r="A17" s="688" t="s">
        <v>186</v>
      </c>
      <c r="B17" s="816">
        <f t="shared" si="0"/>
        <v>103.16775115902472</v>
      </c>
      <c r="C17" s="816">
        <f t="shared" si="1"/>
        <v>110.47393762105797</v>
      </c>
      <c r="D17" s="816">
        <f t="shared" si="2"/>
        <v>113.71970871414894</v>
      </c>
      <c r="E17" s="689">
        <f>[11]Ec_CPI!$K22</f>
        <v>98.491093714819115</v>
      </c>
      <c r="F17" s="689">
        <f>[11]Ec_CPI!$N22</f>
        <v>99.965839680212525</v>
      </c>
      <c r="G17" s="689">
        <f>[11]Ec_CPI!$Q22</f>
        <v>99.999999999999986</v>
      </c>
      <c r="H17" s="689">
        <f>[11]Ec_CPI!$T22</f>
        <v>103.16775115902472</v>
      </c>
      <c r="I17" s="689">
        <f>[11]Ec_CPI!$W22</f>
        <v>104.65302453070437</v>
      </c>
      <c r="J17" s="689">
        <f>[11]Ec_CPI!$Z22</f>
        <v>107.13531713205467</v>
      </c>
      <c r="K17" s="689">
        <f>[11]Ec_CPI!$AC22</f>
        <v>109.53106151172396</v>
      </c>
      <c r="L17" s="689">
        <f>[11]Ec_CPI!$AF22</f>
        <v>110.47393762105797</v>
      </c>
      <c r="M17" s="689">
        <f>[11]Ec_CPI!$AI22</f>
        <v>112.16814144322582</v>
      </c>
      <c r="N17" s="689">
        <f>[11]Ec_CPI!$AL22</f>
        <v>111.79479943039188</v>
      </c>
      <c r="O17" s="689">
        <f>[11]Ec_CPI!$AO22</f>
        <v>113.71561966134276</v>
      </c>
      <c r="P17" s="689">
        <f>[11]Ec_CPI!$AR22</f>
        <v>113.71970871414894</v>
      </c>
      <c r="Q17" s="689">
        <f>[11]Ec_CPI!$AU22</f>
        <v>115.73526731942812</v>
      </c>
      <c r="R17" s="689">
        <f>[11]Ec_CPI!$AX22</f>
        <v>118.62395538521513</v>
      </c>
      <c r="S17" s="689">
        <f>[11]Ec_CPI!$BA22</f>
        <v>122.29313441459475</v>
      </c>
      <c r="T17" s="689">
        <f>[11]Ec_CPI!$BD22</f>
        <v>127.64345724435884</v>
      </c>
      <c r="U17" s="822">
        <f>[11]Ec_CPI!$BG22</f>
        <v>127.78980816788814</v>
      </c>
    </row>
    <row r="18" spans="1:23" ht="18.75" customHeight="1" x14ac:dyDescent="0.3">
      <c r="A18" s="688" t="s">
        <v>144</v>
      </c>
      <c r="B18" s="816">
        <f t="shared" si="0"/>
        <v>104.33401976664535</v>
      </c>
      <c r="C18" s="816">
        <f t="shared" si="1"/>
        <v>123.85103241800441</v>
      </c>
      <c r="D18" s="816">
        <f t="shared" si="2"/>
        <v>136.57463320153826</v>
      </c>
      <c r="E18" s="689">
        <f>[11]Ec_CPI!$K$24</f>
        <v>99.635214071720469</v>
      </c>
      <c r="F18" s="689">
        <f>[11]Ec_CPI!$N$24</f>
        <v>100.12255687902977</v>
      </c>
      <c r="G18" s="689">
        <f>[11]Ec_CPI!$Q$24</f>
        <v>100</v>
      </c>
      <c r="H18" s="689">
        <f>[11]Ec_CPI!$T$24</f>
        <v>104.33401976664535</v>
      </c>
      <c r="I18" s="689">
        <f>[11]Ec_CPI!$W$24</f>
        <v>104.9181153320431</v>
      </c>
      <c r="J18" s="689">
        <f>[11]Ec_CPI!$Z$24</f>
        <v>109.01801045483982</v>
      </c>
      <c r="K18" s="689">
        <f>[11]Ec_CPI!$AC$24</f>
        <v>117.73007648285198</v>
      </c>
      <c r="L18" s="689">
        <f>[11]Ec_CPI!$AF$24</f>
        <v>123.85103241800441</v>
      </c>
      <c r="M18" s="689">
        <f>[11]Ec_CPI!$AI$24</f>
        <v>121.97811407475621</v>
      </c>
      <c r="N18" s="689">
        <f>[11]Ec_CPI!$AL$24</f>
        <v>135.57723517461127</v>
      </c>
      <c r="O18" s="689">
        <f>[11]Ec_CPI!$AO$24</f>
        <v>134.63934396949026</v>
      </c>
      <c r="P18" s="689">
        <f>[11]Ec_CPI!$AR$24</f>
        <v>136.57463320153826</v>
      </c>
      <c r="Q18" s="689">
        <f>[11]Ec_CPI!$AW$24</f>
        <v>136.07916446517387</v>
      </c>
      <c r="R18" s="689">
        <f>[11]Ec_CPI!$AX$24</f>
        <v>149.77741998087083</v>
      </c>
      <c r="S18" s="689">
        <f>[11]Ec_CPI!$BA$24</f>
        <v>136.61042583233075</v>
      </c>
      <c r="T18" s="689">
        <f>[11]Ec_CPI!$BD$24</f>
        <v>145.76859443091251</v>
      </c>
      <c r="U18" s="822">
        <f>[11]Ec_CPI!$BG$24</f>
        <v>140.31828152059401</v>
      </c>
    </row>
    <row r="19" spans="1:23" ht="18.75" customHeight="1" x14ac:dyDescent="0.3">
      <c r="A19" s="688" t="s">
        <v>145</v>
      </c>
      <c r="B19" s="816">
        <f t="shared" si="0"/>
        <v>102.81622767802045</v>
      </c>
      <c r="C19" s="816">
        <f t="shared" si="1"/>
        <v>109.75757233757643</v>
      </c>
      <c r="D19" s="816">
        <f t="shared" si="2"/>
        <v>114.63036237806732</v>
      </c>
      <c r="E19" s="689">
        <f>[11]Ec_CPI!$K$25</f>
        <v>98.190161037499692</v>
      </c>
      <c r="F19" s="689">
        <f>[11]Ec_CPI!$N$25</f>
        <v>99.12847178965437</v>
      </c>
      <c r="G19" s="689">
        <f>[11]Ec_CPI!$Q$25</f>
        <v>100</v>
      </c>
      <c r="H19" s="689">
        <f>[11]Ec_CPI!$T$25</f>
        <v>102.81622767802045</v>
      </c>
      <c r="I19" s="689">
        <f>[11]Ec_CPI!$W$25</f>
        <v>104.76450217556008</v>
      </c>
      <c r="J19" s="689">
        <f>[11]Ec_CPI!$Z$25</f>
        <v>109.89632093156403</v>
      </c>
      <c r="K19" s="689">
        <f>[11]Ec_CPI!$AC$25</f>
        <v>110.54644886991809</v>
      </c>
      <c r="L19" s="689">
        <f>[11]Ec_CPI!$AF$25</f>
        <v>109.75757233757643</v>
      </c>
      <c r="M19" s="689">
        <f>[11]Ec_CPI!$AI$25</f>
        <v>111.08537422743143</v>
      </c>
      <c r="N19" s="689">
        <f>[11]Ec_CPI!$AL$25</f>
        <v>113.96699862645596</v>
      </c>
      <c r="O19" s="689">
        <f>[11]Ec_CPI!$AO$25</f>
        <v>115.72692757517109</v>
      </c>
      <c r="P19" s="689">
        <f>[11]Ec_CPI!$AR$25</f>
        <v>114.63036237806732</v>
      </c>
      <c r="Q19" s="689">
        <f>[11]Ec_CPI!$AX$25</f>
        <v>116.02094057520733</v>
      </c>
      <c r="R19" s="689">
        <f>[11]Ec_CPI!$AX$25</f>
        <v>116.02094057520733</v>
      </c>
      <c r="S19" s="689">
        <f>[11]Ec_CPI!$BA$25</f>
        <v>116.41254048689567</v>
      </c>
      <c r="T19" s="689">
        <f>[11]Ec_CPI!$BD$25</f>
        <v>120.65881931408681</v>
      </c>
      <c r="U19" s="822">
        <f>[11]Ec_CPI!$BG$25</f>
        <v>118.972703949321</v>
      </c>
    </row>
    <row r="20" spans="1:23" ht="23.25" customHeight="1" x14ac:dyDescent="0.3">
      <c r="A20" s="688"/>
      <c r="B20" s="690"/>
      <c r="C20" s="690"/>
      <c r="D20" s="690"/>
      <c r="E20" s="690"/>
      <c r="F20" s="690"/>
      <c r="G20" s="690"/>
      <c r="H20" s="818" t="s">
        <v>316</v>
      </c>
      <c r="I20" s="690"/>
      <c r="J20" s="690"/>
      <c r="K20" s="690"/>
      <c r="L20" s="690"/>
      <c r="M20" s="690"/>
      <c r="N20" s="690"/>
      <c r="O20" s="690"/>
      <c r="P20" s="690"/>
      <c r="Q20" s="690"/>
      <c r="R20" s="690"/>
      <c r="S20" s="690"/>
      <c r="T20" s="690"/>
      <c r="U20" s="823"/>
    </row>
    <row r="21" spans="1:23" ht="18.75" customHeight="1" x14ac:dyDescent="0.3">
      <c r="A21" s="688" t="s">
        <v>94</v>
      </c>
      <c r="B21" s="721"/>
      <c r="C21" s="721"/>
      <c r="D21" s="721"/>
      <c r="E21" s="689"/>
      <c r="F21" s="689"/>
      <c r="G21" s="689"/>
      <c r="H21" s="689"/>
      <c r="I21" s="689">
        <f>[11]Ec_CPI!$W$28</f>
        <v>6.0136842536356205</v>
      </c>
      <c r="J21" s="689">
        <f>[11]Ec_CPI!$Z$28</f>
        <v>9.8968460679009986</v>
      </c>
      <c r="K21" s="689">
        <f>[11]Ec_CPI!$AC$28</f>
        <v>14.035717944576964</v>
      </c>
      <c r="L21" s="689">
        <f>[11]Ec_CPI!$AF$28</f>
        <v>12.601861897124644</v>
      </c>
      <c r="M21" s="689">
        <f>[11]Ec_CPI!$AI$28</f>
        <v>11.004610806689819</v>
      </c>
      <c r="N21" s="689">
        <f>[11]Ec_CPI!$AL$28</f>
        <v>13.696878309319249</v>
      </c>
      <c r="O21" s="689">
        <f>[11]Ec_CPI!$AO$28</f>
        <v>9.5386317258460362</v>
      </c>
      <c r="P21" s="689">
        <f>[11]Ec_CPI!$AR$28</f>
        <v>7.4493089805786727</v>
      </c>
      <c r="Q21" s="689">
        <f>[11]Ec_CPI!$AU$28</f>
        <v>7.568981592694235</v>
      </c>
      <c r="R21" s="689">
        <f>[11]Ec_CPI!$AX$28</f>
        <v>6.3903632230696061</v>
      </c>
      <c r="S21" s="689">
        <f>[11]Ec_CPI!$BA$28</f>
        <v>1.0487266050652089</v>
      </c>
      <c r="T21" s="689">
        <f>[11]Ec_CPI!$BD$28</f>
        <v>6.0373791687408085</v>
      </c>
      <c r="U21" s="822">
        <f>[11]Ec_CPI!$BG$28</f>
        <v>3.3199247116574959</v>
      </c>
    </row>
    <row r="22" spans="1:23" ht="18.75" customHeight="1" x14ac:dyDescent="0.3">
      <c r="A22" s="688" t="s">
        <v>176</v>
      </c>
      <c r="B22" s="690"/>
      <c r="C22" s="690"/>
      <c r="D22" s="690"/>
      <c r="E22" s="689"/>
      <c r="F22" s="689"/>
      <c r="G22" s="689"/>
      <c r="H22" s="689"/>
      <c r="I22" s="689">
        <f>[11]Ec_CPI!$W30</f>
        <v>6.6903633951213948</v>
      </c>
      <c r="J22" s="689">
        <f>[11]Ec_CPI!$Z30</f>
        <v>10.826392746635577</v>
      </c>
      <c r="K22" s="689">
        <f>[11]Ec_CPI!$AC30</f>
        <v>15.724250075189389</v>
      </c>
      <c r="L22" s="689">
        <f>[11]Ec_CPI!$AF30</f>
        <v>12.928034930291801</v>
      </c>
      <c r="M22" s="689">
        <f>[11]Ec_CPI!$AI30</f>
        <v>14.380425480511192</v>
      </c>
      <c r="N22" s="689">
        <f>[11]Ec_CPI!$AL30</f>
        <v>19.010448277808095</v>
      </c>
      <c r="O22" s="689">
        <f>[11]Ec_CPI!$AO30</f>
        <v>13.969319458845291</v>
      </c>
      <c r="P22" s="689">
        <f>[11]Ec_CPI!$AR30</f>
        <v>9.6140002690301714</v>
      </c>
      <c r="Q22" s="689">
        <f>[11]Ec_CPI!$AU30</f>
        <v>7.1168019954598378</v>
      </c>
      <c r="R22" s="689">
        <f>[11]Ec_CPI!$AX30</f>
        <v>11.790728519475337</v>
      </c>
      <c r="S22" s="689">
        <f>[11]Ec_CPI!$BA30</f>
        <v>1.6773212778975193</v>
      </c>
      <c r="T22" s="689">
        <f>[11]Ec_CPI!$BD30</f>
        <v>9.4386304174628037</v>
      </c>
      <c r="U22" s="822">
        <f>[11]Ec_CPI!$BG30</f>
        <v>1.1332649471815559</v>
      </c>
    </row>
    <row r="23" spans="1:23" ht="18.75" customHeight="1" x14ac:dyDescent="0.3">
      <c r="A23" s="688" t="s">
        <v>177</v>
      </c>
      <c r="B23" s="690"/>
      <c r="C23" s="690"/>
      <c r="D23" s="690"/>
      <c r="E23" s="689"/>
      <c r="F23" s="689"/>
      <c r="G23" s="689"/>
      <c r="H23" s="689"/>
      <c r="I23" s="689">
        <f>[11]Ec_CPI!$W31</f>
        <v>-2.302432056508664</v>
      </c>
      <c r="J23" s="689">
        <f>[11]Ec_CPI!$Z31</f>
        <v>2.4061053660355327</v>
      </c>
      <c r="K23" s="689">
        <f>[11]Ec_CPI!$AC31</f>
        <v>2.3123204744482706</v>
      </c>
      <c r="L23" s="689">
        <f>[11]Ec_CPI!$AF31</f>
        <v>3.8776053725315478</v>
      </c>
      <c r="M23" s="689">
        <f>[11]Ec_CPI!$AI31</f>
        <v>2.5381765282330093</v>
      </c>
      <c r="N23" s="689">
        <f>[11]Ec_CPI!$AL31</f>
        <v>0.54799764233229098</v>
      </c>
      <c r="O23" s="689">
        <f>[11]Ec_CPI!$AO31</f>
        <v>0.1753662733102459</v>
      </c>
      <c r="P23" s="689">
        <f>[11]Ec_CPI!$AR31</f>
        <v>3.8049666059437612</v>
      </c>
      <c r="Q23" s="689">
        <f>[11]Ec_CPI!$AU31</f>
        <v>4.5549175230745789</v>
      </c>
      <c r="R23" s="689">
        <f>[11]Ec_CPI!$AX31</f>
        <v>5.9933271572426747</v>
      </c>
      <c r="S23" s="689">
        <f>[11]Ec_CPI!$BA31</f>
        <v>21.669777493794726</v>
      </c>
      <c r="T23" s="689">
        <f>[11]Ec_CPI!$BD31</f>
        <v>21.398585635648175</v>
      </c>
      <c r="U23" s="822">
        <f>[11]Ec_CPI!$BG31</f>
        <v>31.306571942286411</v>
      </c>
    </row>
    <row r="24" spans="1:23" ht="18.75" customHeight="1" x14ac:dyDescent="0.3">
      <c r="A24" s="688" t="s">
        <v>129</v>
      </c>
      <c r="B24" s="690"/>
      <c r="C24" s="690"/>
      <c r="D24" s="690"/>
      <c r="E24" s="689"/>
      <c r="F24" s="689"/>
      <c r="G24" s="689"/>
      <c r="H24" s="689"/>
      <c r="I24" s="689">
        <f>[11]Ec_CPI!$W32</f>
        <v>0.60704137855043427</v>
      </c>
      <c r="J24" s="689">
        <f>[11]Ec_CPI!$Z32</f>
        <v>2.575350526875738</v>
      </c>
      <c r="K24" s="689">
        <f>[11]Ec_CPI!$AC32</f>
        <v>2.5043771652383242</v>
      </c>
      <c r="L24" s="689">
        <f>[11]Ec_CPI!$AF32</f>
        <v>1.453910770510177</v>
      </c>
      <c r="M24" s="689">
        <f>[11]Ec_CPI!$AI32</f>
        <v>-1.202687856437592</v>
      </c>
      <c r="N24" s="689">
        <f>[11]Ec_CPI!$AL32</f>
        <v>7.1039822319223163</v>
      </c>
      <c r="O24" s="689">
        <f>[11]Ec_CPI!$AO32</f>
        <v>7.244037413349929</v>
      </c>
      <c r="P24" s="689">
        <f>[11]Ec_CPI!$AR32</f>
        <v>6.6097111795696151</v>
      </c>
      <c r="Q24" s="689">
        <f>[11]Ec_CPI!$AU32</f>
        <v>7.8923375754089022</v>
      </c>
      <c r="R24" s="689">
        <f>[11]Ec_CPI!$AX32</f>
        <v>-3.7931708389693171</v>
      </c>
      <c r="S24" s="689">
        <f>[11]Ec_CPI!$BA32</f>
        <v>1.2990025589265173</v>
      </c>
      <c r="T24" s="689">
        <f>[11]Ec_CPI!$BD32</f>
        <v>8.8407861370469902</v>
      </c>
      <c r="U24" s="822">
        <f>[11]Ec_CPI!$BG32</f>
        <v>12.379841750845056</v>
      </c>
    </row>
    <row r="25" spans="1:23" ht="18.75" customHeight="1" x14ac:dyDescent="0.3">
      <c r="A25" s="688" t="s">
        <v>178</v>
      </c>
      <c r="B25" s="690"/>
      <c r="C25" s="690"/>
      <c r="D25" s="690"/>
      <c r="E25" s="689"/>
      <c r="F25" s="689"/>
      <c r="G25" s="689"/>
      <c r="H25" s="689"/>
      <c r="I25" s="689">
        <f>[11]Ec_CPI!$W33</f>
        <v>26.760271360885284</v>
      </c>
      <c r="J25" s="689">
        <f>[11]Ec_CPI!$Z33</f>
        <v>35.320330390398794</v>
      </c>
      <c r="K25" s="689">
        <f>[11]Ec_CPI!$AC33</f>
        <v>37.45645661145042</v>
      </c>
      <c r="L25" s="689">
        <f>[11]Ec_CPI!$AF33</f>
        <v>32.138877318835483</v>
      </c>
      <c r="M25" s="689">
        <f>[11]Ec_CPI!$AI33</f>
        <v>9.1729857202523561</v>
      </c>
      <c r="N25" s="689">
        <f>[11]Ec_CPI!$AL33</f>
        <v>-9.0745121265884023</v>
      </c>
      <c r="O25" s="689">
        <f>[11]Ec_CPI!$AO33</f>
        <v>-14.404645591968389</v>
      </c>
      <c r="P25" s="689">
        <f>[11]Ec_CPI!$AR33</f>
        <v>-11.95639797852192</v>
      </c>
      <c r="Q25" s="689">
        <f>[11]Ec_CPI!$AU33</f>
        <v>2.5701482114559866</v>
      </c>
      <c r="R25" s="689">
        <f>[11]Ec_CPI!$AX33</f>
        <v>1.1251995491748659</v>
      </c>
      <c r="S25" s="689">
        <f>[11]Ec_CPI!$BA33</f>
        <v>1.4968116357532324</v>
      </c>
      <c r="T25" s="689">
        <f>[11]Ec_CPI!$BD33</f>
        <v>-7.4191391354232081</v>
      </c>
      <c r="U25" s="822">
        <f>[11]Ec_CPI!$BG33</f>
        <v>-10.644071152401457</v>
      </c>
    </row>
    <row r="26" spans="1:23" ht="18.75" customHeight="1" x14ac:dyDescent="0.3">
      <c r="A26" s="688" t="s">
        <v>179</v>
      </c>
      <c r="B26" s="690"/>
      <c r="C26" s="690"/>
      <c r="D26" s="690"/>
      <c r="E26" s="689"/>
      <c r="F26" s="689"/>
      <c r="G26" s="689"/>
      <c r="H26" s="689"/>
      <c r="I26" s="689">
        <f>[11]Ec_CPI!$W34</f>
        <v>3.3209480473049808</v>
      </c>
      <c r="J26" s="689">
        <f>[11]Ec_CPI!$Z34</f>
        <v>6.2506826576324244</v>
      </c>
      <c r="K26" s="689">
        <f>[11]Ec_CPI!$AC34</f>
        <v>4.3072503395534198</v>
      </c>
      <c r="L26" s="689">
        <f>[11]Ec_CPI!$AF34</f>
        <v>3.9422863934441779</v>
      </c>
      <c r="M26" s="689">
        <f>[11]Ec_CPI!$AI34</f>
        <v>4.2494290338825209</v>
      </c>
      <c r="N26" s="689">
        <f>[11]Ec_CPI!$AL34</f>
        <v>3.9454362291485978</v>
      </c>
      <c r="O26" s="689">
        <f>[11]Ec_CPI!$AO34</f>
        <v>8.7618450673003281</v>
      </c>
      <c r="P26" s="689">
        <f>[11]Ec_CPI!$AR34</f>
        <v>7.6857699108673074</v>
      </c>
      <c r="Q26" s="689">
        <f>[11]Ec_CPI!$AU34</f>
        <v>6.6714732692641832</v>
      </c>
      <c r="R26" s="689">
        <f>[11]Ec_CPI!$AX34</f>
        <v>6.6689658717674689</v>
      </c>
      <c r="S26" s="689">
        <f>[11]Ec_CPI!$BA34</f>
        <v>5.1865073320036572</v>
      </c>
      <c r="T26" s="689">
        <f>[11]Ec_CPI!$BD34</f>
        <v>14.021569126871597</v>
      </c>
      <c r="U26" s="822">
        <f>[11]Ec_CPI!$BG34</f>
        <v>14.718642321149922</v>
      </c>
    </row>
    <row r="27" spans="1:23" ht="18.75" customHeight="1" x14ac:dyDescent="0.3">
      <c r="A27" s="688" t="s">
        <v>180</v>
      </c>
      <c r="B27" s="690"/>
      <c r="C27" s="690"/>
      <c r="D27" s="690"/>
      <c r="E27" s="689"/>
      <c r="F27" s="689"/>
      <c r="G27" s="689"/>
      <c r="H27" s="689"/>
      <c r="I27" s="689">
        <f>[11]Ec_CPI!$W35</f>
        <v>0</v>
      </c>
      <c r="J27" s="689">
        <f>[11]Ec_CPI!$Z35</f>
        <v>0</v>
      </c>
      <c r="K27" s="689">
        <f>[11]Ec_CPI!$AC35</f>
        <v>29.570880900254224</v>
      </c>
      <c r="L27" s="689">
        <f>[11]Ec_CPI!$AF35</f>
        <v>29.570880900254224</v>
      </c>
      <c r="M27" s="689">
        <f>[11]Ec_CPI!$AI35</f>
        <v>29.570880900254224</v>
      </c>
      <c r="N27" s="689">
        <f>[11]Ec_CPI!$AL35</f>
        <v>29.570880900254224</v>
      </c>
      <c r="O27" s="689">
        <f>[11]Ec_CPI!$AO35</f>
        <v>0</v>
      </c>
      <c r="P27" s="689">
        <f>[11]Ec_CPI!$AR35</f>
        <v>0</v>
      </c>
      <c r="Q27" s="689">
        <f>[11]Ec_CPI!$AU35</f>
        <v>0</v>
      </c>
      <c r="R27" s="689">
        <f>[11]Ec_CPI!$AX35</f>
        <v>0</v>
      </c>
      <c r="S27" s="689">
        <f>[11]Ec_CPI!$BA35</f>
        <v>-1.1543470805786171</v>
      </c>
      <c r="T27" s="689">
        <f>[11]Ec_CPI!$BD35</f>
        <v>-1.1543470805786171</v>
      </c>
      <c r="U27" s="822">
        <f>[11]Ec_CPI!$BG35</f>
        <v>-0.67398790756881821</v>
      </c>
    </row>
    <row r="28" spans="1:23" ht="18.75" customHeight="1" x14ac:dyDescent="0.3">
      <c r="A28" s="688" t="s">
        <v>181</v>
      </c>
      <c r="B28" s="690"/>
      <c r="C28" s="690"/>
      <c r="D28" s="690"/>
      <c r="E28" s="689"/>
      <c r="F28" s="689"/>
      <c r="G28" s="689"/>
      <c r="H28" s="689"/>
      <c r="I28" s="689">
        <f>[11]Ec_CPI!$W36</f>
        <v>9.3785856811715291</v>
      </c>
      <c r="J28" s="689">
        <f>[11]Ec_CPI!$Z36</f>
        <v>17.118835120018502</v>
      </c>
      <c r="K28" s="689">
        <f>[11]Ec_CPI!$AC36</f>
        <v>16.581305597613365</v>
      </c>
      <c r="L28" s="689">
        <f>[11]Ec_CPI!$AF36</f>
        <v>12.940262252245176</v>
      </c>
      <c r="M28" s="689">
        <f>[11]Ec_CPI!$AI36</f>
        <v>8.448616351109564</v>
      </c>
      <c r="N28" s="689">
        <f>[11]Ec_CPI!$AL36</f>
        <v>3.2364990746225999</v>
      </c>
      <c r="O28" s="689">
        <f>[11]Ec_CPI!$AO36</f>
        <v>4.8693578671102244</v>
      </c>
      <c r="P28" s="689">
        <f>[11]Ec_CPI!$AR36</f>
        <v>5.3801005540219222</v>
      </c>
      <c r="Q28" s="689">
        <f>[11]Ec_CPI!$AU36</f>
        <v>5.9354827010520381</v>
      </c>
      <c r="R28" s="689">
        <f>[11]Ec_CPI!$AX36</f>
        <v>2.6459133549306131</v>
      </c>
      <c r="S28" s="689">
        <f>[11]Ec_CPI!$BA36</f>
        <v>0.3649583387408768</v>
      </c>
      <c r="T28" s="689">
        <f>[11]Ec_CPI!$BD36</f>
        <v>8.1420818688765024</v>
      </c>
      <c r="U28" s="822">
        <f>[11]Ec_CPI!$BG36</f>
        <v>0.67419912983268659</v>
      </c>
      <c r="W28" s="157"/>
    </row>
    <row r="29" spans="1:23" ht="18.75" customHeight="1" x14ac:dyDescent="0.3">
      <c r="A29" s="688" t="s">
        <v>182</v>
      </c>
      <c r="B29" s="690"/>
      <c r="C29" s="690"/>
      <c r="D29" s="690"/>
      <c r="E29" s="689"/>
      <c r="F29" s="689"/>
      <c r="G29" s="689"/>
      <c r="H29" s="689"/>
      <c r="I29" s="689">
        <f>[11]Ec_CPI!$W37</f>
        <v>-0.90524719497216211</v>
      </c>
      <c r="J29" s="689">
        <f>[11]Ec_CPI!$Z37</f>
        <v>-0.62976245518680685</v>
      </c>
      <c r="K29" s="689">
        <f>[11]Ec_CPI!$AC37</f>
        <v>-0.20801421335501402</v>
      </c>
      <c r="L29" s="689">
        <f>[11]Ec_CPI!$AF37</f>
        <v>16.582981420280561</v>
      </c>
      <c r="M29" s="689">
        <f>[11]Ec_CPI!$AI37</f>
        <v>16.218637122600171</v>
      </c>
      <c r="N29" s="689">
        <f>[11]Ec_CPI!$AL37</f>
        <v>16.481392893284962</v>
      </c>
      <c r="O29" s="689">
        <f>[11]Ec_CPI!$AO37</f>
        <v>16.504779320860735</v>
      </c>
      <c r="P29" s="689">
        <f>[11]Ec_CPI!$AR37</f>
        <v>8.9738233639621967E-2</v>
      </c>
      <c r="Q29" s="689">
        <f>[11]Ec_CPI!$AU37</f>
        <v>-2.0823704001003307E-2</v>
      </c>
      <c r="R29" s="689">
        <f>[11]Ec_CPI!$AX37</f>
        <v>-8.7129401453765354E-2</v>
      </c>
      <c r="S29" s="689">
        <f>[11]Ec_CPI!$BA37</f>
        <v>-0.29444705340837629</v>
      </c>
      <c r="T29" s="689">
        <f>[11]Ec_CPI!$BD37</f>
        <v>-0.37652135256485053</v>
      </c>
      <c r="U29" s="822">
        <f>[11]Ec_CPI!$BG37</f>
        <v>-0.64489741818386515</v>
      </c>
      <c r="V29" s="157"/>
    </row>
    <row r="30" spans="1:23" ht="18.75" customHeight="1" x14ac:dyDescent="0.3">
      <c r="A30" s="688" t="s">
        <v>183</v>
      </c>
      <c r="B30" s="690"/>
      <c r="C30" s="690"/>
      <c r="D30" s="690"/>
      <c r="E30" s="689"/>
      <c r="F30" s="689"/>
      <c r="G30" s="689"/>
      <c r="H30" s="689"/>
      <c r="I30" s="689">
        <f>[11]Ec_CPI!$W38</f>
        <v>2.6477968840050465</v>
      </c>
      <c r="J30" s="689">
        <f>[11]Ec_CPI!$Z38</f>
        <v>5.0814785975467061</v>
      </c>
      <c r="K30" s="689">
        <f>[11]Ec_CPI!$AC38</f>
        <v>5.5353923782795391</v>
      </c>
      <c r="L30" s="689">
        <f>[11]Ec_CPI!$AF38</f>
        <v>2.992114864274086</v>
      </c>
      <c r="M30" s="689">
        <f>[11]Ec_CPI!$AI38</f>
        <v>3.4087600608566646</v>
      </c>
      <c r="N30" s="689">
        <f>[11]Ec_CPI!$AL38</f>
        <v>6.7136505852816128</v>
      </c>
      <c r="O30" s="689">
        <f>[11]Ec_CPI!$AO38</f>
        <v>6.0130146348353861</v>
      </c>
      <c r="P30" s="689">
        <f>[11]Ec_CPI!$AR38</f>
        <v>6.3249022207569396</v>
      </c>
      <c r="Q30" s="689">
        <f>[11]Ec_CPI!$AU38</f>
        <v>6.9053892269367765</v>
      </c>
      <c r="R30" s="689">
        <f>[11]Ec_CPI!$AX38</f>
        <v>1.5955057789895903</v>
      </c>
      <c r="S30" s="689">
        <f>[11]Ec_CPI!$BA38</f>
        <v>1.4120226095027562</v>
      </c>
      <c r="T30" s="689">
        <f>[11]Ec_CPI!$BD38</f>
        <v>7.3908374286454404</v>
      </c>
      <c r="U30" s="822">
        <f>[11]Ec_CPI!$BG38</f>
        <v>9.0565755134206061</v>
      </c>
      <c r="V30" s="157"/>
    </row>
    <row r="31" spans="1:23" ht="18.75" customHeight="1" x14ac:dyDescent="0.3">
      <c r="A31" s="688" t="s">
        <v>184</v>
      </c>
      <c r="B31" s="690"/>
      <c r="C31" s="690"/>
      <c r="D31" s="690"/>
      <c r="E31" s="689"/>
      <c r="F31" s="689"/>
      <c r="G31" s="689"/>
      <c r="H31" s="689"/>
      <c r="I31" s="689">
        <f>[11]Ec_CPI!$W39</f>
        <v>0</v>
      </c>
      <c r="J31" s="689">
        <f>[11]Ec_CPI!$Z39</f>
        <v>0</v>
      </c>
      <c r="K31" s="689">
        <f>[11]Ec_CPI!$AC39</f>
        <v>0</v>
      </c>
      <c r="L31" s="689">
        <f>[11]Ec_CPI!$AF39</f>
        <v>0</v>
      </c>
      <c r="M31" s="689">
        <f>[11]Ec_CPI!$AI39</f>
        <v>6.7937814318587755</v>
      </c>
      <c r="N31" s="689">
        <f>[11]Ec_CPI!$AL39</f>
        <v>6.7937814318587755</v>
      </c>
      <c r="O31" s="689">
        <f>[11]Ec_CPI!$AO39</f>
        <v>6.7937814318587755</v>
      </c>
      <c r="P31" s="689">
        <f>[11]Ec_CPI!$AR39</f>
        <v>6.7937814318587755</v>
      </c>
      <c r="Q31" s="689">
        <f>[11]Ec_CPI!$AU39</f>
        <v>-2.8375619941852932</v>
      </c>
      <c r="R31" s="689">
        <f>[11]Ec_CPI!$AX39</f>
        <v>-2.8375619941852932</v>
      </c>
      <c r="S31" s="689">
        <f>[11]Ec_CPI!$BA39</f>
        <v>-2.8375619941852932</v>
      </c>
      <c r="T31" s="689">
        <f>[11]Ec_CPI!$BD39</f>
        <v>-2.8375619941852932</v>
      </c>
      <c r="U31" s="822">
        <f>[11]Ec_CPI!$BG39</f>
        <v>2.2016476937859686</v>
      </c>
    </row>
    <row r="32" spans="1:23" ht="18.75" customHeight="1" x14ac:dyDescent="0.3">
      <c r="A32" s="688" t="s">
        <v>185</v>
      </c>
      <c r="B32" s="690"/>
      <c r="C32" s="690"/>
      <c r="D32" s="690"/>
      <c r="E32" s="689"/>
      <c r="F32" s="689"/>
      <c r="G32" s="689"/>
      <c r="H32" s="689"/>
      <c r="I32" s="689">
        <f>[11]Ec_CPI!$W40</f>
        <v>0</v>
      </c>
      <c r="J32" s="689">
        <f>[11]Ec_CPI!$Z40</f>
        <v>0</v>
      </c>
      <c r="K32" s="689">
        <f>[11]Ec_CPI!$AC40</f>
        <v>11.664597110380967</v>
      </c>
      <c r="L32" s="689">
        <f>[11]Ec_CPI!$AF40</f>
        <v>11.664597110380967</v>
      </c>
      <c r="M32" s="689">
        <f>[11]Ec_CPI!$AI40</f>
        <v>11.664597110380967</v>
      </c>
      <c r="N32" s="689">
        <f>[11]Ec_CPI!$AL40</f>
        <v>32.360584035268545</v>
      </c>
      <c r="O32" s="689">
        <f>[11]Ec_CPI!$AO40</f>
        <v>18.534063132318906</v>
      </c>
      <c r="P32" s="689">
        <f>[11]Ec_CPI!$AR40</f>
        <v>18.534063132318906</v>
      </c>
      <c r="Q32" s="689">
        <f>[11]Ec_CPI!$AU40</f>
        <v>18.534063132318906</v>
      </c>
      <c r="R32" s="689">
        <f>[11]Ec_CPI!$AX40</f>
        <v>0</v>
      </c>
      <c r="S32" s="689">
        <f>[11]Ec_CPI!$BA40</f>
        <v>-8.5712265277685589</v>
      </c>
      <c r="T32" s="689">
        <f>[11]Ec_CPI!$BD40</f>
        <v>-6.1814122060977184</v>
      </c>
      <c r="U32" s="822">
        <f>[11]Ec_CPI!$BG40</f>
        <v>4.2278656914306989</v>
      </c>
    </row>
    <row r="33" spans="1:34" ht="18.75" customHeight="1" x14ac:dyDescent="0.3">
      <c r="A33" s="688" t="s">
        <v>186</v>
      </c>
      <c r="B33" s="690"/>
      <c r="C33" s="690"/>
      <c r="D33" s="690"/>
      <c r="E33" s="689"/>
      <c r="F33" s="689"/>
      <c r="G33" s="689"/>
      <c r="H33" s="689"/>
      <c r="I33" s="689">
        <f>[11]Ec_CPI!$W41</f>
        <v>6.2563330180159369</v>
      </c>
      <c r="J33" s="689">
        <f>[11]Ec_CPI!$Z41</f>
        <v>7.1719274051786641</v>
      </c>
      <c r="K33" s="689">
        <f>[11]Ec_CPI!$AC41</f>
        <v>9.5310615117239763</v>
      </c>
      <c r="L33" s="689">
        <f>[11]Ec_CPI!$AF41</f>
        <v>7.0818510435216808</v>
      </c>
      <c r="M33" s="689">
        <f>[11]Ec_CPI!$AI41</f>
        <v>7.1809839669913771</v>
      </c>
      <c r="N33" s="689">
        <f>[11]Ec_CPI!$AL41</f>
        <v>4.3491562101729073</v>
      </c>
      <c r="O33" s="689">
        <f>[11]Ec_CPI!$AO41</f>
        <v>3.8204305626773163</v>
      </c>
      <c r="P33" s="689">
        <f>[11]Ec_CPI!$AR41</f>
        <v>2.9380423681687233</v>
      </c>
      <c r="Q33" s="689">
        <f>[11]Ec_CPI!$AU41</f>
        <v>3.1801595625151862</v>
      </c>
      <c r="R33" s="689">
        <f>[11]Ec_CPI!$AX41</f>
        <v>6.1086526292981631</v>
      </c>
      <c r="S33" s="689">
        <f>[11]Ec_CPI!$BA41</f>
        <v>7.5429521281216552</v>
      </c>
      <c r="T33" s="689">
        <f>[11]Ec_CPI!$BD41</f>
        <v>12.243918567545123</v>
      </c>
      <c r="U33" s="822">
        <f>[11]Ec_CPI!$BG41</f>
        <v>10.415615851294181</v>
      </c>
    </row>
    <row r="34" spans="1:34" ht="18.75" customHeight="1" x14ac:dyDescent="0.3">
      <c r="A34" s="688" t="s">
        <v>144</v>
      </c>
      <c r="B34" s="690"/>
      <c r="C34" s="690"/>
      <c r="D34" s="690"/>
      <c r="E34" s="689"/>
      <c r="F34" s="689"/>
      <c r="G34" s="689"/>
      <c r="H34" s="689"/>
      <c r="I34" s="689">
        <f>[11]Ec_CPI!$W$43</f>
        <v>5.30224309702374</v>
      </c>
      <c r="J34" s="689">
        <f>[11]Ec_CPI!$Z$43</f>
        <v>8.8845649303160794</v>
      </c>
      <c r="K34" s="689">
        <f>[11]Ec_CPI!$AC$43</f>
        <v>17.730076482851999</v>
      </c>
      <c r="L34" s="689">
        <f>[11]Ec_CPI!$AF$43</f>
        <v>18.706278829293701</v>
      </c>
      <c r="M34" s="689">
        <f>[11]Ec_CPI!$AI$43</f>
        <v>16.260298508719799</v>
      </c>
      <c r="N34" s="689">
        <f>[11]Ec_CPI!$AL$43</f>
        <v>24.362235752571799</v>
      </c>
      <c r="O34" s="689">
        <f>[11]Ec_CPI!$AO$43</f>
        <v>14.3627422930462</v>
      </c>
      <c r="P34" s="689">
        <f>[11]Ec_CPI!$AR$43</f>
        <v>10.273310230140799</v>
      </c>
      <c r="Q34" s="689">
        <f>[11]Ec_CPI!$AW$43</f>
        <v>3.8394844450087202</v>
      </c>
      <c r="R34" s="689">
        <f>[11]Ec_CPI!$AX$43</f>
        <v>10.473871065427</v>
      </c>
      <c r="S34" s="689">
        <f>[11]Ec_CPI!$BA$43</f>
        <v>1.46397167776393</v>
      </c>
      <c r="T34" s="689">
        <f>[11]Ec_CPI!$BD$43</f>
        <v>6.7318220183737001</v>
      </c>
      <c r="U34" s="822">
        <f>[11]Ec_CPI!$BG$43</f>
        <v>3.1151845119574251</v>
      </c>
      <c r="W34" s="157"/>
    </row>
    <row r="35" spans="1:34" ht="18.75" customHeight="1" x14ac:dyDescent="0.3">
      <c r="A35" s="688" t="s">
        <v>145</v>
      </c>
      <c r="B35" s="690"/>
      <c r="C35" s="690"/>
      <c r="D35" s="690"/>
      <c r="E35" s="689"/>
      <c r="F35" s="689"/>
      <c r="G35" s="689"/>
      <c r="H35" s="689"/>
      <c r="I35" s="689">
        <f>[11]Ec_CPI!$W$44</f>
        <v>6.6955192542658102</v>
      </c>
      <c r="J35" s="689">
        <f>[11]Ec_CPI!$Z$44</f>
        <v>10.8625190598706</v>
      </c>
      <c r="K35" s="689">
        <f>[11]Ec_CPI!$AC$44</f>
        <v>10.5464488699181</v>
      </c>
      <c r="L35" s="689">
        <f>[11]Ec_CPI!$AF$44</f>
        <v>6.7512150720930002</v>
      </c>
      <c r="M35" s="689">
        <f>[11]Ec_CPI!$AI$44</f>
        <v>6.0334100965602699</v>
      </c>
      <c r="N35" s="689">
        <f>[11]Ec_CPI!$AL$44</f>
        <v>3.70410734443682</v>
      </c>
      <c r="O35" s="689">
        <f>[11]Ec_CPI!$AO$44</f>
        <v>4.6862461510174303</v>
      </c>
      <c r="P35" s="689">
        <f>[11]Ec_CPI!$AR$44</f>
        <v>4.4395934938355399</v>
      </c>
      <c r="Q35" s="689">
        <f>[11]Ec_CPI!$AX$44</f>
        <v>1.80222518229465</v>
      </c>
      <c r="R35" s="689">
        <f>[11]Ec_CPI!$AX$44</f>
        <v>1.80222518229465</v>
      </c>
      <c r="S35" s="689">
        <f>[11]Ec_CPI!$BA$44</f>
        <v>0.59244026095761604</v>
      </c>
      <c r="T35" s="689">
        <f>[11]Ec_CPI!$BD$44</f>
        <v>5.2559271673344297</v>
      </c>
      <c r="U35" s="822">
        <f>[11]Ec_CPI!$BG$44</f>
        <v>3.5489526981653308</v>
      </c>
    </row>
    <row r="36" spans="1:34" ht="22.5" customHeight="1" x14ac:dyDescent="0.3">
      <c r="A36" s="688"/>
      <c r="B36" s="690"/>
      <c r="C36" s="690"/>
      <c r="D36" s="690"/>
      <c r="E36" s="690"/>
      <c r="F36" s="690"/>
      <c r="G36" s="690"/>
      <c r="H36" s="819" t="s">
        <v>317</v>
      </c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0"/>
      <c r="U36" s="823"/>
    </row>
    <row r="37" spans="1:34" ht="18.75" customHeight="1" x14ac:dyDescent="0.3">
      <c r="A37" s="688" t="s">
        <v>94</v>
      </c>
      <c r="B37" s="690"/>
      <c r="C37" s="690"/>
      <c r="D37" s="690"/>
      <c r="E37" s="720"/>
      <c r="F37" s="690">
        <f>[11]Database_2021rebase!$B$1668</f>
        <v>0.72732254907030836</v>
      </c>
      <c r="G37" s="690">
        <f>[11]Database_2021rebase!$B$1671</f>
        <v>0.39019260054161009</v>
      </c>
      <c r="H37" s="690">
        <f>[11]Database_2021rebase!$B$1674</f>
        <v>3.5534575682594038</v>
      </c>
      <c r="I37" s="690">
        <f>[11]Database_2021rebase!$B$1677</f>
        <v>1.2415407665952642</v>
      </c>
      <c r="J37" s="690">
        <f>[11]Database_2021rebase!$B$1680</f>
        <v>4.4168508899583401</v>
      </c>
      <c r="K37" s="690">
        <f>[11]Database_2021rebase!$B$1683</f>
        <v>4.17103035626522</v>
      </c>
      <c r="L37" s="690">
        <f>[11]Database_2021rebase!$B$1686</f>
        <v>2.2514027906412934</v>
      </c>
      <c r="M37" s="690">
        <f>[11]Database_2021rebase!$B$1689</f>
        <v>-0.19456480628139161</v>
      </c>
      <c r="N37" s="690">
        <f>[11]Database_2021rebase!$B$1692</f>
        <v>6.9493411382012056</v>
      </c>
      <c r="O37" s="690">
        <f>[11]Database_2021rebase!$B$1695</f>
        <v>0.36117350252327185</v>
      </c>
      <c r="P37" s="690">
        <f>[11]Database_2021rebase!$B$1698</f>
        <v>0.30107551139728628</v>
      </c>
      <c r="Q37" s="690">
        <f>[11]Database_2021rebase!$B$1701</f>
        <v>-8.3405625768449454E-2</v>
      </c>
      <c r="R37" s="690">
        <f>[11]Database_2021rebase!$B$1704</f>
        <v>5.7775120828511319</v>
      </c>
      <c r="S37" s="690">
        <f>[11]Database_2021rebase!$B$1707</f>
        <v>-4.6777501665588517</v>
      </c>
      <c r="T37" s="690">
        <f>[11]Database_2021rebase!$B$1710</f>
        <v>5.2528174511543853</v>
      </c>
      <c r="U37" s="824">
        <f>[11]Database_2021rebase!$B$1713</f>
        <v>-2.6440007371089251</v>
      </c>
    </row>
    <row r="38" spans="1:34" ht="18.75" customHeight="1" x14ac:dyDescent="0.3">
      <c r="A38" s="688" t="s">
        <v>176</v>
      </c>
      <c r="B38" s="690"/>
      <c r="C38" s="690"/>
      <c r="D38" s="690"/>
      <c r="E38" s="720"/>
      <c r="F38" s="690">
        <f>[11]Database_2021rebase!$C$1668</f>
        <v>0.78078277710973509</v>
      </c>
      <c r="G38" s="690">
        <f>[11]Database_2021rebase!$C$1671</f>
        <v>-0.47679618823863734</v>
      </c>
      <c r="H38" s="690">
        <f>[11]Database_2021rebase!$C$1674</f>
        <v>5.9950700115070248</v>
      </c>
      <c r="I38" s="690">
        <f>[11]Database_2021rebase!$C$1677</f>
        <v>0.35463896402119133</v>
      </c>
      <c r="J38" s="690">
        <f>[11]Database_2021rebase!$C$1680</f>
        <v>4.6877174089751179</v>
      </c>
      <c r="K38" s="690">
        <f>[11]Database_2021rebase!$C$1683</f>
        <v>3.9215284442789056</v>
      </c>
      <c r="L38" s="690">
        <f>[11]Database_2021rebase!$C$1686</f>
        <v>3.4339385299196721</v>
      </c>
      <c r="M38" s="690">
        <f>[11]Database_2021rebase!$C$1689</f>
        <v>1.6453204975482265</v>
      </c>
      <c r="N38" s="690">
        <f>[11]Database_2021rebase!$C$1692</f>
        <v>8.9253875886783618</v>
      </c>
      <c r="O38" s="690">
        <f>[11]Database_2021rebase!$C$1695</f>
        <v>-0.48045322650861522</v>
      </c>
      <c r="P38" s="690">
        <f>[11]Database_2021rebase!$C$1698</f>
        <v>-0.5187727742852104</v>
      </c>
      <c r="Q38" s="690">
        <f>[11]Database_2021rebase!$C$1701</f>
        <v>-0.67033734031920744</v>
      </c>
      <c r="R38" s="690">
        <f>[11]Database_2021rebase!$C$1704</f>
        <v>13.67822980115379</v>
      </c>
      <c r="S38" s="690">
        <f>[11]Database_2021rebase!$C$1707</f>
        <v>-9.4837195827362279</v>
      </c>
      <c r="T38" s="690">
        <f>[11]Database_2021rebase!$C$1710</f>
        <v>7.0749024757919017</v>
      </c>
      <c r="U38" s="824">
        <f>[11]Database_2021rebase!$C$1713</f>
        <v>-8.2085269839713959</v>
      </c>
      <c r="V38" s="157"/>
    </row>
    <row r="39" spans="1:34" ht="18.75" customHeight="1" x14ac:dyDescent="0.3">
      <c r="A39" s="688" t="s">
        <v>177</v>
      </c>
      <c r="B39" s="690"/>
      <c r="C39" s="690"/>
      <c r="D39" s="690"/>
      <c r="E39" s="720"/>
      <c r="F39" s="690">
        <f>[11]Database_2021rebase!$F$1668</f>
        <v>-2.6983778620477352</v>
      </c>
      <c r="G39" s="690">
        <f>[11]Database_2021rebase!$F$1671</f>
        <v>1.0706790985314427</v>
      </c>
      <c r="H39" s="690">
        <f>[11]Database_2021rebase!$F$1674</f>
        <v>-1.2480983238525596</v>
      </c>
      <c r="I39" s="690">
        <f>[11]Database_2021rebase!$F$1677</f>
        <v>0.59885106773140251</v>
      </c>
      <c r="J39" s="690">
        <f>[11]Database_2021rebase!$F$1680</f>
        <v>1.9910769396910268</v>
      </c>
      <c r="K39" s="690">
        <f>[11]Database_2021rebase!$F$1683</f>
        <v>0.97811720831965943</v>
      </c>
      <c r="L39" s="690">
        <f>[11]Database_2021rebase!$F$1686</f>
        <v>0.26271542403112846</v>
      </c>
      <c r="M39" s="690">
        <f>[11]Database_2021rebase!$F$1689</f>
        <v>-0.69830054006877162</v>
      </c>
      <c r="N39" s="690">
        <f>[11]Database_2021rebase!$F$1692</f>
        <v>1.1516791966343476E-2</v>
      </c>
      <c r="O39" s="690">
        <f>[11]Database_2021rebase!$F$1695</f>
        <v>0.60389181409101411</v>
      </c>
      <c r="P39" s="690">
        <f>[11]Database_2021rebase!$F$1698</f>
        <v>3.8954806316065174</v>
      </c>
      <c r="Q39" s="690">
        <f>[11]Database_2021rebase!$F$1701</f>
        <v>1.9116005763052613E-2</v>
      </c>
      <c r="R39" s="690">
        <f>[11]Database_2021rebase!$F$1704</f>
        <v>1.3874207923647788</v>
      </c>
      <c r="S39" s="690">
        <f>[11]Database_2021rebase!$F$1707</f>
        <v>15.483242769342979</v>
      </c>
      <c r="T39" s="690">
        <f>[11]Database_2021rebase!$F$1710</f>
        <v>3.663906209215952</v>
      </c>
      <c r="U39" s="824">
        <f>[11]Database_2021rebase!$F$1713</f>
        <v>8.1822097238513294</v>
      </c>
      <c r="X39" s="157"/>
    </row>
    <row r="40" spans="1:34" ht="18.75" customHeight="1" x14ac:dyDescent="0.3">
      <c r="A40" s="688" t="s">
        <v>129</v>
      </c>
      <c r="B40" s="690"/>
      <c r="C40" s="690"/>
      <c r="D40" s="690"/>
      <c r="E40" s="720"/>
      <c r="F40" s="690">
        <f>[11]Database_2021rebase!$J$1668</f>
        <v>9.1104875339212299E-2</v>
      </c>
      <c r="G40" s="690">
        <f>[11]Database_2021rebase!$J$1671</f>
        <v>0.21022534157995665</v>
      </c>
      <c r="H40" s="690">
        <f>[11]Database_2021rebase!$J$1674</f>
        <v>0</v>
      </c>
      <c r="I40" s="690">
        <f>[11]Database_2021rebase!$J$1677</f>
        <v>0.30460119725839263</v>
      </c>
      <c r="J40" s="690">
        <f>[11]Database_2021rebase!$J$1680</f>
        <v>2.0493200727311489</v>
      </c>
      <c r="K40" s="690">
        <f>[11]Database_2021rebase!$J$1683</f>
        <v>0.14088844410503043</v>
      </c>
      <c r="L40" s="690">
        <f>[11]Database_2021rebase!$J$1686</f>
        <v>-1.0248014999737762</v>
      </c>
      <c r="M40" s="690">
        <f>[11]Database_2021rebase!$J$1689</f>
        <v>-2.3219024416199261</v>
      </c>
      <c r="N40" s="690">
        <f>[11]Database_2021rebase!$J$1692</f>
        <v>10.629412143999701</v>
      </c>
      <c r="O40" s="690">
        <f>[11]Database_2021rebase!$J$1695</f>
        <v>0.27183829309373664</v>
      </c>
      <c r="P40" s="690">
        <f>[11]Database_2021rebase!$J$1698</f>
        <v>-1.610219266932674</v>
      </c>
      <c r="Q40" s="690">
        <f>[11]Database_2021rebase!$J$1701</f>
        <v>-1.1467327048525107</v>
      </c>
      <c r="R40" s="690">
        <f>[11]Database_2021rebase!$J$1704</f>
        <v>-1.3525409356884524</v>
      </c>
      <c r="S40" s="690">
        <f>[11]Database_2021rebase!$J$1707</f>
        <v>5.5791703397570984</v>
      </c>
      <c r="T40" s="690">
        <f>[11]Database_2021rebase!$J$1710</f>
        <v>5.7149706544179679</v>
      </c>
      <c r="U40" s="824">
        <f>[11]Database_2021rebase!$J$1713</f>
        <v>2.0675697912968758</v>
      </c>
      <c r="V40" s="157"/>
    </row>
    <row r="41" spans="1:34" ht="18.75" customHeight="1" x14ac:dyDescent="0.3">
      <c r="A41" s="688" t="s">
        <v>178</v>
      </c>
      <c r="B41" s="690"/>
      <c r="C41" s="690"/>
      <c r="D41" s="690"/>
      <c r="E41" s="720"/>
      <c r="F41" s="690">
        <f>[11]Database_2021rebase!$M$1668</f>
        <v>3.6105850588037782</v>
      </c>
      <c r="G41" s="690">
        <f>[11]Database_2021rebase!$M$1671</f>
        <v>7.2627170447421321</v>
      </c>
      <c r="H41" s="690">
        <f>[11]Database_2021rebase!$M$1674</f>
        <v>5.8128992005938187</v>
      </c>
      <c r="I41" s="690">
        <f>[11]Database_2021rebase!$M$1677</f>
        <v>7.7932649570845882</v>
      </c>
      <c r="J41" s="690">
        <f>[11]Database_2021rebase!$M$1680</f>
        <v>10.607357112570995</v>
      </c>
      <c r="K41" s="690">
        <f>[11]Database_2021rebase!$M$1683</f>
        <v>8.9559341818824691</v>
      </c>
      <c r="L41" s="690">
        <f>[11]Database_2021rebase!$M$1686</f>
        <v>1.7194684840496706</v>
      </c>
      <c r="M41" s="690">
        <f>[11]Database_2021rebase!$M$1689</f>
        <v>-10.941330706903841</v>
      </c>
      <c r="N41" s="690">
        <f>[11]Database_2021rebase!$M$1692</f>
        <v>-7.8798858389788506</v>
      </c>
      <c r="O41" s="690">
        <f>[11]Database_2021rebase!$M$1695</f>
        <v>2.5688398190441717</v>
      </c>
      <c r="P41" s="690">
        <f>[11]Database_2021rebase!$M$1698</f>
        <v>4.6289072927258417</v>
      </c>
      <c r="Q41" s="690">
        <f>[11]Database_2021rebase!$M$1701</f>
        <v>3.7526941103512428</v>
      </c>
      <c r="R41" s="690">
        <f>[11]Database_2021rebase!$M$1704</f>
        <v>-9.1776204922596349</v>
      </c>
      <c r="S41" s="690">
        <f>[11]Database_2021rebase!$M$1707</f>
        <v>2.9457569549608422</v>
      </c>
      <c r="T41" s="690">
        <f>[11]Database_2021rebase!$M$1710</f>
        <v>-4.5621812905466186</v>
      </c>
      <c r="U41" s="824">
        <f>[11]Database_2021rebase!$M$1713</f>
        <v>0.13860603685994022</v>
      </c>
      <c r="V41" s="157"/>
    </row>
    <row r="42" spans="1:34" ht="18.75" customHeight="1" x14ac:dyDescent="0.3">
      <c r="A42" s="688" t="s">
        <v>179</v>
      </c>
      <c r="B42" s="690"/>
      <c r="C42" s="690"/>
      <c r="D42" s="690"/>
      <c r="E42" s="720"/>
      <c r="F42" s="690">
        <f>[11]Database_2021rebase!$Q$1668</f>
        <v>2.8346385682283426E-2</v>
      </c>
      <c r="G42" s="690">
        <f>[11]Database_2021rebase!$Q$1671</f>
        <v>1.2382687262009426</v>
      </c>
      <c r="H42" s="690">
        <f>[11]Database_2021rebase!$Q$1674</f>
        <v>1.1247685450237412</v>
      </c>
      <c r="I42" s="690">
        <f>[11]Database_2021rebase!$Q$1677</f>
        <v>0.89346628397149175</v>
      </c>
      <c r="J42" s="690">
        <f>[11]Database_2021rebase!$Q$1680</f>
        <v>2.8647170729293663</v>
      </c>
      <c r="K42" s="690">
        <f>[11]Database_2021rebase!$Q$1683</f>
        <v>-0.61348147763392546</v>
      </c>
      <c r="L42" s="690">
        <f>[11]Database_2021rebase!$Q$1686</f>
        <v>0.77093988539145641</v>
      </c>
      <c r="M42" s="690">
        <f>[11]Database_2021rebase!$Q$1689</f>
        <v>1.1915998609079708</v>
      </c>
      <c r="N42" s="690">
        <f>[11]Database_2021rebase!$Q$1692</f>
        <v>2.5647621077947491</v>
      </c>
      <c r="O42" s="690">
        <f>[11]Database_2021rebase!$Q$1695</f>
        <v>3.9916856520608093</v>
      </c>
      <c r="P42" s="690">
        <f>[11]Database_2021rebase!$Q$1698</f>
        <v>-0.22607432335036037</v>
      </c>
      <c r="Q42" s="690">
        <f>[11]Database_2021rebase!$Q$1701</f>
        <v>0.23847207083578326</v>
      </c>
      <c r="R42" s="690">
        <f>[11]Database_2021rebase!$Q$1704</f>
        <v>2.5623512417976855</v>
      </c>
      <c r="S42" s="690">
        <f>[11]Database_2021rebase!$Q$1707</f>
        <v>2.5464352814454259</v>
      </c>
      <c r="T42" s="690">
        <f>[11]Database_2021rebase!$Q$1710</f>
        <v>8.1543617347404904</v>
      </c>
      <c r="U42" s="824">
        <f>[11]Database_2021rebase!$Q$1713</f>
        <v>0.8512820194363826</v>
      </c>
      <c r="X42" s="157"/>
    </row>
    <row r="43" spans="1:34" ht="18.75" customHeight="1" x14ac:dyDescent="0.3">
      <c r="A43" s="688" t="s">
        <v>180</v>
      </c>
      <c r="B43" s="690"/>
      <c r="C43" s="690"/>
      <c r="D43" s="690"/>
      <c r="E43" s="720"/>
      <c r="F43" s="690">
        <f>[11]Database_2021rebase!$U$1668</f>
        <v>0</v>
      </c>
      <c r="G43" s="690">
        <f>[11]Database_2021rebase!$U$1671</f>
        <v>0</v>
      </c>
      <c r="H43" s="690">
        <f>[11]Database_2021rebase!$U$1674</f>
        <v>0</v>
      </c>
      <c r="I43" s="690">
        <f>[11]Database_2021rebase!$U$1677</f>
        <v>0</v>
      </c>
      <c r="J43" s="690">
        <f>[11]Database_2021rebase!$U$1680</f>
        <v>0</v>
      </c>
      <c r="K43" s="690">
        <f>[11]Database_2021rebase!$U$1683</f>
        <v>29.570880900254224</v>
      </c>
      <c r="L43" s="690">
        <f>[11]Database_2021rebase!$U$1686</f>
        <v>0</v>
      </c>
      <c r="M43" s="690">
        <f>[11]Database_2021rebase!$U$1689</f>
        <v>0</v>
      </c>
      <c r="N43" s="690">
        <f>[11]Database_2021rebase!$U$1692</f>
        <v>0</v>
      </c>
      <c r="O43" s="690">
        <f>[11]Database_2021rebase!$U$1695</f>
        <v>0</v>
      </c>
      <c r="P43" s="690">
        <f>[11]Database_2021rebase!$U$1698</f>
        <v>0</v>
      </c>
      <c r="Q43" s="690">
        <f>[11]Database_2021rebase!$U$1701</f>
        <v>0</v>
      </c>
      <c r="R43" s="690">
        <f>[11]Database_2021rebase!$U$1704</f>
        <v>0</v>
      </c>
      <c r="S43" s="690">
        <f>[11]Database_2021rebase!$U$1707</f>
        <v>-1.1543470805786171</v>
      </c>
      <c r="T43" s="690">
        <f>[11]Database_2021rebase!$U$1710</f>
        <v>0</v>
      </c>
      <c r="U43" s="824">
        <f>[11]Database_2021rebase!$U$1713</f>
        <v>0.48596894129617851</v>
      </c>
      <c r="W43" s="157"/>
    </row>
    <row r="44" spans="1:34" ht="18.75" customHeight="1" x14ac:dyDescent="0.3">
      <c r="A44" s="688" t="s">
        <v>181</v>
      </c>
      <c r="B44" s="690"/>
      <c r="C44" s="690"/>
      <c r="D44" s="690"/>
      <c r="E44" s="720"/>
      <c r="F44" s="690">
        <f>[11]Database_2021rebase!$X$1668</f>
        <v>2.0386308058528186</v>
      </c>
      <c r="G44" s="690">
        <f>[11]Database_2021rebase!$X$1671</f>
        <v>0.43291704219390681</v>
      </c>
      <c r="H44" s="690">
        <f>[11]Database_2021rebase!$X$1674</f>
        <v>3.5542159987479636</v>
      </c>
      <c r="I44" s="690">
        <f>[11]Database_2021rebase!$X$1677</f>
        <v>3.0679929696089374</v>
      </c>
      <c r="J44" s="690">
        <f>[11]Database_2021rebase!$X$1680</f>
        <v>9.2594633839766942</v>
      </c>
      <c r="K44" s="690">
        <f>[11]Database_2021rebase!$X$1683</f>
        <v>-2.8030659993532936E-2</v>
      </c>
      <c r="L44" s="690">
        <f>[11]Database_2021rebase!$X$1686</f>
        <v>0.32003203491026966</v>
      </c>
      <c r="M44" s="690">
        <f>[11]Database_2021rebase!$X$1689</f>
        <v>-1.0310317619456981</v>
      </c>
      <c r="N44" s="690">
        <f>[11]Database_2021rebase!$X$1692</f>
        <v>4.0083762250625341</v>
      </c>
      <c r="O44" s="690">
        <f>[11]Database_2021rebase!$X$1695</f>
        <v>1.5531941064636783</v>
      </c>
      <c r="P44" s="690">
        <f>[11]Database_2021rebase!$X$1698</f>
        <v>0.80861825069986537</v>
      </c>
      <c r="Q44" s="690">
        <f>[11]Database_2021rebase!$X$1701</f>
        <v>-0.50943804756857958</v>
      </c>
      <c r="R44" s="690">
        <f>[11]Database_2021rebase!$X$1704</f>
        <v>0.77864849412512172</v>
      </c>
      <c r="S44" s="690">
        <f>[11]Database_2021rebase!$X$1707</f>
        <v>-0.70347895470595745</v>
      </c>
      <c r="T44" s="690">
        <f>[11]Database_2021rebase!$X$1710</f>
        <v>8.6201202929953524</v>
      </c>
      <c r="U44" s="824">
        <f>[11]Database_2021rebase!$X$1713</f>
        <v>-7.3798795765489871</v>
      </c>
      <c r="W44" s="157"/>
    </row>
    <row r="45" spans="1:34" ht="18.75" customHeight="1" x14ac:dyDescent="0.3">
      <c r="A45" s="688" t="s">
        <v>182</v>
      </c>
      <c r="B45" s="690"/>
      <c r="C45" s="690"/>
      <c r="D45" s="690"/>
      <c r="E45" s="720"/>
      <c r="F45" s="690">
        <f>[11]Database_2021rebase!$AC$1668</f>
        <v>-0.50040720512140524</v>
      </c>
      <c r="G45" s="690">
        <f>[11]Database_2021rebase!$AC$1671</f>
        <v>-0.57724569052270169</v>
      </c>
      <c r="H45" s="690">
        <f>[11]Database_2021rebase!$AC$1674</f>
        <v>-0.10472932262256052</v>
      </c>
      <c r="I45" s="690">
        <f>[11]Database_2021rebase!$AC$1677</f>
        <v>0.27637759615831214</v>
      </c>
      <c r="J45" s="690">
        <f>[11]Database_2021rebase!$AC$1680</f>
        <v>-0.22379700474301956</v>
      </c>
      <c r="K45" s="690">
        <f>[11]Database_2021rebase!$AC$1683</f>
        <v>-0.15527455646771671</v>
      </c>
      <c r="L45" s="690">
        <f>[11]Database_2021rebase!$AC$1686</f>
        <v>16.703645022696506</v>
      </c>
      <c r="M45" s="690">
        <f>[11]Database_2021rebase!$AC$1689</f>
        <v>-3.7005420162884661E-2</v>
      </c>
      <c r="N45" s="690">
        <f>[11]Database_2021rebase!$AC$1692</f>
        <v>1.7844834167846102E-3</v>
      </c>
      <c r="O45" s="690">
        <f>[11]Database_2021rebase!$AC$1695</f>
        <v>-0.13522833807687107</v>
      </c>
      <c r="P45" s="690">
        <f>[11]Database_2021rebase!$AC$1698</f>
        <v>0.26058458137248408</v>
      </c>
      <c r="Q45" s="690">
        <f>[11]Database_2021rebase!$AC$1701</f>
        <v>-0.14742735320170652</v>
      </c>
      <c r="R45" s="690">
        <f>[11]Database_2021rebase!$AC$1704</f>
        <v>-6.4536207674564139E-2</v>
      </c>
      <c r="S45" s="690">
        <f>[11]Database_2021rebase!$AC$1707</f>
        <v>-0.34244618548635231</v>
      </c>
      <c r="T45" s="690">
        <f>[11]Database_2021rebase!$AC$1710</f>
        <v>0.17805339861133973</v>
      </c>
      <c r="U45" s="824">
        <f>[11]Database_2021rebase!$AC$1713</f>
        <v>-0.41642057601136173</v>
      </c>
      <c r="X45" s="157"/>
    </row>
    <row r="46" spans="1:34" ht="18.75" customHeight="1" x14ac:dyDescent="0.3">
      <c r="A46" s="688" t="s">
        <v>183</v>
      </c>
      <c r="B46" s="690"/>
      <c r="C46" s="690"/>
      <c r="D46" s="690"/>
      <c r="E46" s="720"/>
      <c r="F46" s="690">
        <f>[11]Database_2021rebase!$AF$1668</f>
        <v>-1.594831731203783E-2</v>
      </c>
      <c r="G46" s="690">
        <f>[11]Database_2021rebase!$AF$1671</f>
        <v>0.40928871626213947</v>
      </c>
      <c r="H46" s="690">
        <f>[11]Database_2021rebase!$AF$1674</f>
        <v>2.1793756132764202</v>
      </c>
      <c r="I46" s="690">
        <f>[11]Database_2021rebase!$AF$1677</f>
        <v>6.4899991635698484E-2</v>
      </c>
      <c r="J46" s="690">
        <f>[11]Database_2021rebase!$AF$1680</f>
        <v>2.3545785289770294</v>
      </c>
      <c r="K46" s="690">
        <f>[11]Database_2021rebase!$AF$1683</f>
        <v>0.84302033547973565</v>
      </c>
      <c r="L46" s="690">
        <f>[11]Database_2021rebase!$AF$1686</f>
        <v>-0.28302588574759113</v>
      </c>
      <c r="M46" s="690">
        <f>[11]Database_2021rebase!$AF$1689</f>
        <v>0.4697034077319131</v>
      </c>
      <c r="N46" s="690">
        <f>[11]Database_2021rebase!$AF$1692</f>
        <v>5.6257779564999026</v>
      </c>
      <c r="O46" s="690">
        <f>[11]Database_2021rebase!$AF$1695</f>
        <v>0.18092841929930614</v>
      </c>
      <c r="P46" s="690">
        <f>[11]Database_2021rebase!$AF$1698</f>
        <v>1.0338909499708393E-2</v>
      </c>
      <c r="Q46" s="690">
        <f>[11]Database_2021rebase!$AF$1701</f>
        <v>1.0182236144266739</v>
      </c>
      <c r="R46" s="690">
        <f>[11]Database_2021rebase!$AF$1704</f>
        <v>0.37945151679927847</v>
      </c>
      <c r="S46" s="690">
        <f>[11]Database_2021rebase!$AF$1707</f>
        <v>0</v>
      </c>
      <c r="T46" s="690">
        <f>[11]Database_2021rebase!$AF$1710</f>
        <v>5.9065165120512262</v>
      </c>
      <c r="U46" s="824">
        <f>[11]Database_2021rebase!$AF$1713</f>
        <v>2.5851161572163761</v>
      </c>
      <c r="V46" s="157"/>
      <c r="AA46" s="157"/>
    </row>
    <row r="47" spans="1:34" ht="18.75" customHeight="1" x14ac:dyDescent="0.3">
      <c r="A47" s="688" t="s">
        <v>184</v>
      </c>
      <c r="B47" s="690"/>
      <c r="C47" s="690"/>
      <c r="D47" s="690"/>
      <c r="E47" s="720"/>
      <c r="F47" s="690">
        <f>[11]Database_2021rebase!$AI$1668</f>
        <v>0</v>
      </c>
      <c r="G47" s="690">
        <f>[11]Database_2021rebase!$AI$1671</f>
        <v>0</v>
      </c>
      <c r="H47" s="690">
        <f>[11]Database_2021rebase!$AI$1674</f>
        <v>0</v>
      </c>
      <c r="I47" s="690">
        <f>[11]Database_2021rebase!$AI$1677</f>
        <v>0</v>
      </c>
      <c r="J47" s="690">
        <f>[11]Database_2021rebase!$AI$1680</f>
        <v>0</v>
      </c>
      <c r="K47" s="690">
        <f>[11]Database_2021rebase!$AI$1683</f>
        <v>0</v>
      </c>
      <c r="L47" s="690">
        <f>[11]Database_2021rebase!$AI$1686</f>
        <v>0</v>
      </c>
      <c r="M47" s="690">
        <f>[11]Database_2021rebase!$AI$1689</f>
        <v>6.7937814318587755</v>
      </c>
      <c r="N47" s="690">
        <f>[11]Database_2021rebase!$AI$1692</f>
        <v>0</v>
      </c>
      <c r="O47" s="690">
        <f>[11]Database_2021rebase!$AI$1695</f>
        <v>0</v>
      </c>
      <c r="P47" s="690">
        <f>[11]Database_2021rebase!$AI$1698</f>
        <v>0</v>
      </c>
      <c r="Q47" s="690">
        <f>[11]Database_2021rebase!$AI$1701</f>
        <v>-2.8375619941852932</v>
      </c>
      <c r="R47" s="690">
        <f>[11]Database_2021rebase!$AI$1704</f>
        <v>0</v>
      </c>
      <c r="S47" s="690">
        <f>[11]Database_2021rebase!$AI$1707</f>
        <v>0</v>
      </c>
      <c r="T47" s="690">
        <f>[11]Database_2021rebase!$AI$1710</f>
        <v>0</v>
      </c>
      <c r="U47" s="824">
        <f>[11]Database_2021rebase!$AI$1713</f>
        <v>2.2016476937859721</v>
      </c>
      <c r="Y47" s="157"/>
    </row>
    <row r="48" spans="1:34" ht="18.75" customHeight="1" x14ac:dyDescent="0.3">
      <c r="A48" s="688" t="s">
        <v>185</v>
      </c>
      <c r="B48" s="690"/>
      <c r="C48" s="690"/>
      <c r="D48" s="690"/>
      <c r="E48" s="720"/>
      <c r="F48" s="690">
        <f>[11]Database_2021rebase!$AM$1668</f>
        <v>0</v>
      </c>
      <c r="G48" s="690">
        <f>[11]Database_2021rebase!$AM$1671</f>
        <v>0</v>
      </c>
      <c r="H48" s="690">
        <f>[11]Database_2021rebase!$AM$1674</f>
        <v>0</v>
      </c>
      <c r="I48" s="690">
        <f>[11]Database_2021rebase!$AM$1677</f>
        <v>0</v>
      </c>
      <c r="J48" s="690">
        <f>[11]Database_2021rebase!$AM$1680</f>
        <v>0</v>
      </c>
      <c r="K48" s="690">
        <f>[11]Database_2021rebase!$AM$1683</f>
        <v>11.664597110380967</v>
      </c>
      <c r="L48" s="690">
        <f>[11]Database_2021rebase!$AM$1686</f>
        <v>0</v>
      </c>
      <c r="M48" s="690">
        <f>[11]Database_2021rebase!$AM$1689</f>
        <v>0</v>
      </c>
      <c r="N48" s="690">
        <f>[11]Database_2021rebase!$AM$1692</f>
        <v>18.534063132318906</v>
      </c>
      <c r="O48" s="690">
        <f>[11]Database_2021rebase!$AM$1695</f>
        <v>0</v>
      </c>
      <c r="P48" s="690">
        <f>[11]Database_2021rebase!$AM$1698</f>
        <v>0</v>
      </c>
      <c r="Q48" s="690">
        <f>[11]Database_2021rebase!$AM$1701</f>
        <v>0</v>
      </c>
      <c r="R48" s="690">
        <f>[11]Database_2021rebase!$AM$1704</f>
        <v>0</v>
      </c>
      <c r="S48" s="690">
        <f>[11]Database_2021rebase!$AM$1707</f>
        <v>-8.5712265277685589</v>
      </c>
      <c r="T48" s="690">
        <f>[11]Database_2021rebase!$AM$1710</f>
        <v>2.613853638096387</v>
      </c>
      <c r="U48" s="824">
        <f>[11]Database_2021rebase!$AM$1713</f>
        <v>11.095112538247974</v>
      </c>
      <c r="X48" s="157"/>
      <c r="Z48" s="157"/>
      <c r="AH48" s="157"/>
    </row>
    <row r="49" spans="1:26" ht="18.75" customHeight="1" x14ac:dyDescent="0.3">
      <c r="A49" s="688" t="s">
        <v>186</v>
      </c>
      <c r="B49" s="690"/>
      <c r="C49" s="690"/>
      <c r="D49" s="690"/>
      <c r="E49" s="720"/>
      <c r="F49" s="690">
        <f>[11]Database_2021rebase!$AO$1668</f>
        <v>1.4973394139205425</v>
      </c>
      <c r="G49" s="690">
        <f>[11]Database_2021rebase!$AO$1671</f>
        <v>3.4171993049554317E-2</v>
      </c>
      <c r="H49" s="690">
        <f>[11]Database_2021rebase!$AO$1674</f>
        <v>3.1677511590247178</v>
      </c>
      <c r="I49" s="690">
        <f>[11]Database_2021rebase!$AO$1677</f>
        <v>1.4396682635741769</v>
      </c>
      <c r="J49" s="690">
        <f>[11]Database_2021rebase!$AO$1680</f>
        <v>2.3719262892607702</v>
      </c>
      <c r="K49" s="690">
        <f>[11]Database_2021rebase!$AO$1683</f>
        <v>2.2361854557412641</v>
      </c>
      <c r="L49" s="690">
        <f>[11]Database_2021rebase!$AO$1686</f>
        <v>0.86082988361533808</v>
      </c>
      <c r="M49" s="690">
        <f>[11]Database_2021rebase!$AO$1689</f>
        <v>1.5335778362306769</v>
      </c>
      <c r="N49" s="690">
        <f>[11]Database_2021rebase!$AO$1692</f>
        <v>-0.33284140044605692</v>
      </c>
      <c r="O49" s="690">
        <f>[11]Database_2021rebase!$AO$1695</f>
        <v>1.7181659976472048</v>
      </c>
      <c r="P49" s="690">
        <f>[11]Database_2021rebase!$AO$1698</f>
        <v>3.5958585270492449E-3</v>
      </c>
      <c r="Q49" s="690">
        <f>[11]Database_2021rebase!$AO$1701</f>
        <v>1.7723916356008118</v>
      </c>
      <c r="R49" s="690">
        <f>[11]Database_2021rebase!$AO$1704</f>
        <v>2.4959445229553694</v>
      </c>
      <c r="S49" s="690">
        <f>[11]Database_2021rebase!$AO$1707</f>
        <v>3.0931180952991042</v>
      </c>
      <c r="T49" s="690">
        <f>[11]Database_2021rebase!$AO$1710</f>
        <v>4.3749985274116767</v>
      </c>
      <c r="U49" s="824">
        <f>[11]Database_2021rebase!$AO$1713</f>
        <v>0.11465603227051702</v>
      </c>
      <c r="Z49" s="157"/>
    </row>
    <row r="50" spans="1:26" ht="18.75" customHeight="1" x14ac:dyDescent="0.3">
      <c r="A50" s="688" t="s">
        <v>144</v>
      </c>
      <c r="B50" s="690"/>
      <c r="C50" s="690"/>
      <c r="D50" s="690"/>
      <c r="E50" s="720"/>
      <c r="F50" s="690">
        <f>[11]Database_2021rebase!$AR$1668</f>
        <v>0.4891270740468201</v>
      </c>
      <c r="G50" s="690">
        <f>[11]Database_2021rebase!$AR$1671</f>
        <v>-0.12240686100120968</v>
      </c>
      <c r="H50" s="690">
        <f>[11]Database_2021rebase!$AR$1674</f>
        <v>4.3340197666453548</v>
      </c>
      <c r="I50" s="690">
        <f>[11]Database_2021rebase!$AR$1677</f>
        <v>0.55983232190625642</v>
      </c>
      <c r="J50" s="690">
        <f>[11]Database_2021rebase!$AR$1680</f>
        <v>3.9077094644918589</v>
      </c>
      <c r="K50" s="690">
        <f>[11]Database_2021rebase!$AR$1683</f>
        <v>7.9914006792676702</v>
      </c>
      <c r="L50" s="690">
        <f>[11]Database_2021rebase!$AR$1686</f>
        <v>5.1991437685373114</v>
      </c>
      <c r="M50" s="690">
        <f>[11]Database_2021rebase!$AR$1689</f>
        <v>-1.512234744177988</v>
      </c>
      <c r="N50" s="690">
        <f>[11]Database_2021rebase!$AR$1692</f>
        <v>11.148820592127407</v>
      </c>
      <c r="O50" s="690">
        <f>[11]Database_2021rebase!$AR$1695</f>
        <v>-0.69177631769308334</v>
      </c>
      <c r="P50" s="690">
        <f>[11]Database_2021rebase!$AR$1698</f>
        <v>1.4373875978529469</v>
      </c>
      <c r="Q50" s="690">
        <f>[11]Database_2021rebase!$AR$1701</f>
        <v>-0.36278240310792853</v>
      </c>
      <c r="R50" s="690">
        <f>[11]Database_2021rebase!$AR$1704</f>
        <v>10.066387142759609</v>
      </c>
      <c r="S50" s="690">
        <f>[11]Database_2021rebase!$AR$1707</f>
        <v>-8.7910408326046365</v>
      </c>
      <c r="T50" s="690">
        <f>[11]Database_2021rebase!$AR$1710</f>
        <v>6.7038577347105814</v>
      </c>
      <c r="U50" s="824">
        <f>[11]Database_2021rebase!$AR$1713</f>
        <v>-3.7390172633527783</v>
      </c>
    </row>
    <row r="51" spans="1:26" ht="18.75" customHeight="1" thickBot="1" x14ac:dyDescent="0.35">
      <c r="A51" s="691" t="s">
        <v>145</v>
      </c>
      <c r="B51" s="692"/>
      <c r="C51" s="692"/>
      <c r="D51" s="692"/>
      <c r="E51" s="817"/>
      <c r="F51" s="825">
        <f>[11]Database_2021rebase!$CH$1668</f>
        <v>0.95560567600692536</v>
      </c>
      <c r="G51" s="825">
        <f>[11]Database_2021rebase!$CH$1671</f>
        <v>0.87919060448643904</v>
      </c>
      <c r="H51" s="825">
        <f>[11]Database_2021rebase!$CH$1674</f>
        <v>2.8162276780204536</v>
      </c>
      <c r="I51" s="825">
        <f>[11]Database_2021rebase!$CH$1677</f>
        <v>1.8949095308581576</v>
      </c>
      <c r="J51" s="825">
        <f>[11]Database_2021rebase!$CH$1680</f>
        <v>4.8984328178300842</v>
      </c>
      <c r="K51" s="825">
        <f>[11]Database_2021rebase!$CH$1683</f>
        <v>0.59158298734942605</v>
      </c>
      <c r="L51" s="825">
        <f>[11]Database_2021rebase!$CH$1686</f>
        <v>-0.71361544437301916</v>
      </c>
      <c r="M51" s="825">
        <f>[11]Database_2021rebase!$CH$1689</f>
        <v>1.2097587998494816</v>
      </c>
      <c r="N51" s="825">
        <f>[11]Database_2021rebase!$CH$1692</f>
        <v>2.5940628269611921</v>
      </c>
      <c r="O51" s="825">
        <f>[11]Database_2021rebase!$CH$1695</f>
        <v>1.544244360144603</v>
      </c>
      <c r="P51" s="825">
        <f>[11]Database_2021rebase!$CH$1698</f>
        <v>-0.94754541581646379</v>
      </c>
      <c r="Q51" s="825">
        <f>[11]Database_2021rebase!$CH$1701</f>
        <v>0.23097523640574025</v>
      </c>
      <c r="R51" s="825">
        <f>[11]Database_2021rebase!$CH$1704</f>
        <v>0.9798591510230068</v>
      </c>
      <c r="S51" s="825">
        <f>[11]Database_2021rebase!$CH$1707</f>
        <v>0.33752519997412378</v>
      </c>
      <c r="T51" s="825">
        <f>[11]Database_2021rebase!$CH$1710</f>
        <v>3.6476128855457404</v>
      </c>
      <c r="U51" s="826">
        <f>[11]Database_2021rebase!$CH$1713</f>
        <v>-1.3945077207342109</v>
      </c>
    </row>
    <row r="52" spans="1:26" s="177" customFormat="1" ht="15.6" x14ac:dyDescent="0.3">
      <c r="A52" s="718" t="s">
        <v>282</v>
      </c>
      <c r="B52" s="693"/>
      <c r="C52" s="693"/>
      <c r="D52" s="693"/>
      <c r="E52" s="694"/>
      <c r="F52" s="694"/>
      <c r="G52" s="694"/>
      <c r="H52" s="694"/>
      <c r="I52" s="694"/>
      <c r="J52" s="694"/>
      <c r="K52" s="694"/>
      <c r="L52" s="694"/>
      <c r="M52" s="694"/>
      <c r="N52" s="694"/>
      <c r="O52" s="694"/>
      <c r="P52" s="695"/>
      <c r="Q52" s="694"/>
      <c r="R52" s="695"/>
      <c r="S52" s="694"/>
      <c r="T52" s="694"/>
      <c r="U52" s="366"/>
      <c r="V52" s="366"/>
    </row>
    <row r="53" spans="1:26" s="177" customFormat="1" ht="15.6" x14ac:dyDescent="0.3">
      <c r="A53" s="793" t="s">
        <v>286</v>
      </c>
      <c r="B53" s="693"/>
      <c r="C53" s="693"/>
      <c r="D53" s="693"/>
      <c r="E53" s="694"/>
      <c r="F53" s="694"/>
      <c r="G53" s="694"/>
      <c r="H53" s="694"/>
      <c r="I53" s="694"/>
      <c r="J53" s="694"/>
      <c r="K53" s="694"/>
      <c r="L53" s="694"/>
      <c r="M53" s="694"/>
      <c r="N53" s="694"/>
      <c r="O53" s="694"/>
      <c r="P53" s="694"/>
      <c r="Q53" s="694"/>
      <c r="R53" s="694"/>
      <c r="S53" s="694"/>
      <c r="T53" s="694"/>
      <c r="U53" s="366"/>
    </row>
    <row r="54" spans="1:26" s="177" customFormat="1" ht="15.6" x14ac:dyDescent="0.3">
      <c r="A54" s="719"/>
      <c r="B54" s="693"/>
      <c r="C54" s="693"/>
      <c r="D54" s="693"/>
      <c r="E54" s="694"/>
      <c r="F54" s="694"/>
      <c r="G54" s="694"/>
      <c r="H54" s="694"/>
      <c r="I54" s="694"/>
      <c r="J54" s="694"/>
      <c r="K54" s="694"/>
      <c r="L54" s="694"/>
      <c r="M54" s="694"/>
      <c r="N54" s="694"/>
      <c r="O54" s="694"/>
      <c r="P54" s="694"/>
      <c r="Q54" s="694"/>
      <c r="R54" s="694"/>
      <c r="S54" s="694"/>
      <c r="T54" s="694"/>
      <c r="U54" s="366"/>
    </row>
    <row r="55" spans="1:26" s="177" customFormat="1" ht="15.6" x14ac:dyDescent="0.3">
      <c r="A55" s="719"/>
      <c r="B55" s="693"/>
      <c r="C55" s="693"/>
      <c r="D55" s="693"/>
      <c r="E55" s="696"/>
      <c r="F55" s="696"/>
      <c r="G55" s="696"/>
      <c r="H55" s="696"/>
      <c r="I55" s="696"/>
      <c r="J55" s="696"/>
      <c r="K55" s="696"/>
      <c r="L55" s="696"/>
      <c r="M55" s="696"/>
      <c r="N55" s="696"/>
      <c r="O55" s="696"/>
      <c r="P55" s="696"/>
      <c r="Q55" s="696"/>
      <c r="R55" s="696"/>
      <c r="S55" s="696"/>
      <c r="T55" s="696"/>
    </row>
    <row r="56" spans="1:26" s="177" customFormat="1" ht="15.6" x14ac:dyDescent="0.3">
      <c r="A56" s="719"/>
      <c r="B56" s="693"/>
      <c r="C56" s="693"/>
      <c r="D56" s="693"/>
      <c r="E56" s="696"/>
      <c r="F56" s="696"/>
      <c r="G56" s="696"/>
      <c r="H56" s="696"/>
      <c r="I56" s="696"/>
      <c r="J56" s="696"/>
      <c r="K56" s="696"/>
      <c r="L56" s="696"/>
      <c r="M56" s="696"/>
      <c r="N56" s="696"/>
      <c r="O56" s="696"/>
      <c r="P56" s="696"/>
      <c r="Q56" s="696"/>
      <c r="R56" s="696"/>
      <c r="S56" s="696"/>
      <c r="T56" s="696"/>
    </row>
    <row r="57" spans="1:26" s="177" customFormat="1" ht="15" customHeight="1" x14ac:dyDescent="0.2">
      <c r="A57" s="546"/>
    </row>
    <row r="58" spans="1:26" s="177" customFormat="1" ht="0.75" customHeight="1" x14ac:dyDescent="0.2">
      <c r="A58" s="366"/>
      <c r="B58" s="366"/>
      <c r="C58" s="366"/>
      <c r="D58" s="366"/>
    </row>
    <row r="59" spans="1:26" ht="12.75" customHeight="1" x14ac:dyDescent="0.2">
      <c r="A59" s="627"/>
    </row>
    <row r="60" spans="1:26" x14ac:dyDescent="0.2">
      <c r="A60" s="629"/>
    </row>
    <row r="62" spans="1:26" x14ac:dyDescent="0.2">
      <c r="A62" s="235"/>
    </row>
    <row r="63" spans="1:26" x14ac:dyDescent="0.2">
      <c r="A63" s="235"/>
    </row>
    <row r="65" spans="1:1" x14ac:dyDescent="0.2">
      <c r="A65" s="189"/>
    </row>
    <row r="66" spans="1:1" x14ac:dyDescent="0.2">
      <c r="A66" s="190"/>
    </row>
    <row r="69" spans="1:1" x14ac:dyDescent="0.2">
      <c r="A69"/>
    </row>
  </sheetData>
  <mergeCells count="1">
    <mergeCell ref="A1:S1"/>
  </mergeCells>
  <printOptions gridLinesSet="0"/>
  <pageMargins left="0.7" right="0.7" top="0.75" bottom="0.75" header="0.3" footer="0.3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94" transitionEvaluation="1" codeName="Sheet4"/>
  <dimension ref="A1:AH122"/>
  <sheetViews>
    <sheetView showGridLines="0" showOutlineSymbols="0" workbookViewId="0">
      <pane xSplit="2" ySplit="9" topLeftCell="C94" activePane="bottomRight" state="frozen"/>
      <selection pane="topRight" activeCell="C1" sqref="C1"/>
      <selection pane="bottomLeft" activeCell="A10" sqref="A10"/>
      <selection pane="bottomRight" activeCell="C103" sqref="C103"/>
    </sheetView>
  </sheetViews>
  <sheetFormatPr defaultColWidth="14" defaultRowHeight="10.199999999999999" outlineLevelRow="1" x14ac:dyDescent="0.2"/>
  <cols>
    <col min="1" max="1" width="8" style="49" customWidth="1"/>
    <col min="2" max="2" width="5.33203125" style="49" customWidth="1"/>
    <col min="3" max="3" width="12" style="49" customWidth="1"/>
    <col min="4" max="4" width="11" style="49" customWidth="1"/>
    <col min="5" max="7" width="12" style="49" customWidth="1"/>
    <col min="8" max="8" width="11" style="49" customWidth="1"/>
    <col min="9" max="9" width="12" style="49" customWidth="1"/>
    <col min="10" max="10" width="14" style="49" customWidth="1"/>
    <col min="11" max="16384" width="14" style="49"/>
  </cols>
  <sheetData>
    <row r="1" spans="1:10" ht="20.100000000000001" customHeight="1" x14ac:dyDescent="0.2">
      <c r="A1" s="50" t="s">
        <v>51</v>
      </c>
      <c r="B1" s="50"/>
      <c r="C1" s="50"/>
      <c r="J1"/>
    </row>
    <row r="2" spans="1:10" ht="15" customHeight="1" x14ac:dyDescent="0.25">
      <c r="A2" s="51" t="s">
        <v>52</v>
      </c>
      <c r="B2" s="51"/>
      <c r="C2" s="51"/>
      <c r="D2" s="52"/>
      <c r="E2" s="52"/>
      <c r="F2" s="52"/>
      <c r="G2" s="52"/>
      <c r="H2" s="52"/>
      <c r="I2" s="52"/>
      <c r="J2" s="52"/>
    </row>
    <row r="3" spans="1:10" ht="18" customHeight="1" x14ac:dyDescent="0.2">
      <c r="A3" s="53" t="s">
        <v>53</v>
      </c>
      <c r="B3" s="53"/>
      <c r="C3" s="53"/>
      <c r="D3" s="54"/>
      <c r="E3" s="54"/>
      <c r="F3" s="54"/>
      <c r="G3" s="54"/>
      <c r="H3" s="54"/>
      <c r="I3" s="54"/>
      <c r="J3" s="54"/>
    </row>
    <row r="4" spans="1:10" ht="15" customHeight="1" x14ac:dyDescent="0.2">
      <c r="A4" s="53"/>
      <c r="B4" s="53"/>
      <c r="C4" s="53"/>
      <c r="D4" s="54"/>
      <c r="E4" s="54"/>
      <c r="F4" s="54"/>
      <c r="G4" s="54"/>
      <c r="H4" s="54"/>
      <c r="I4" s="54"/>
      <c r="J4" s="54"/>
    </row>
    <row r="5" spans="1:10" ht="15" customHeight="1" x14ac:dyDescent="0.2">
      <c r="A5" s="55" t="s">
        <v>6</v>
      </c>
      <c r="B5" s="56"/>
      <c r="C5" s="57" t="s">
        <v>39</v>
      </c>
      <c r="D5" s="57" t="s">
        <v>40</v>
      </c>
      <c r="E5" s="57" t="s">
        <v>41</v>
      </c>
      <c r="F5" s="57" t="s">
        <v>42</v>
      </c>
      <c r="G5" s="57" t="s">
        <v>43</v>
      </c>
      <c r="H5" s="57" t="s">
        <v>44</v>
      </c>
      <c r="I5" s="57" t="s">
        <v>45</v>
      </c>
      <c r="J5" s="58" t="s">
        <v>46</v>
      </c>
    </row>
    <row r="6" spans="1:10" ht="15" customHeight="1" x14ac:dyDescent="0.2">
      <c r="A6" s="242"/>
      <c r="B6" s="243"/>
      <c r="C6" s="243"/>
      <c r="D6" s="244" t="s">
        <v>47</v>
      </c>
      <c r="E6" s="245"/>
      <c r="F6" s="245"/>
      <c r="G6" s="245"/>
      <c r="H6" s="244" t="s">
        <v>48</v>
      </c>
      <c r="I6" s="245"/>
      <c r="J6" s="246"/>
    </row>
    <row r="7" spans="1:10" ht="11.1" hidden="1" customHeight="1" outlineLevel="1" x14ac:dyDescent="0.2">
      <c r="A7" s="55" t="s">
        <v>15</v>
      </c>
      <c r="B7" s="59"/>
      <c r="C7" s="343">
        <v>105.54689209861832</v>
      </c>
      <c r="D7" s="344">
        <v>104.01646838876428</v>
      </c>
      <c r="E7" s="344">
        <v>155.1599549798745</v>
      </c>
      <c r="F7" s="344">
        <v>69.769955226184948</v>
      </c>
      <c r="G7" s="344">
        <v>147.28118710224169</v>
      </c>
      <c r="H7" s="344">
        <v>43.284256685931901</v>
      </c>
      <c r="I7" s="60">
        <v>96.619199362676781</v>
      </c>
      <c r="J7" s="345">
        <v>111.19174161896974</v>
      </c>
    </row>
    <row r="8" spans="1:10" ht="11.1" hidden="1" customHeight="1" outlineLevel="1" x14ac:dyDescent="0.2">
      <c r="A8" s="61" t="s">
        <v>16</v>
      </c>
      <c r="B8" s="62"/>
      <c r="C8" s="261">
        <v>109.28989949288339</v>
      </c>
      <c r="D8" s="346">
        <v>95.980977580720122</v>
      </c>
      <c r="E8" s="346">
        <v>162.93317563571853</v>
      </c>
      <c r="F8" s="346">
        <v>101.1330031709837</v>
      </c>
      <c r="G8" s="346">
        <v>127.65341960087677</v>
      </c>
      <c r="H8" s="346">
        <v>106.85951128506449</v>
      </c>
      <c r="I8" s="324">
        <v>105.54172475602472</v>
      </c>
      <c r="J8" s="347">
        <v>121.42273098937038</v>
      </c>
    </row>
    <row r="9" spans="1:10" ht="15" hidden="1" customHeight="1" outlineLevel="1" x14ac:dyDescent="0.2">
      <c r="A9" s="61" t="s">
        <v>17</v>
      </c>
      <c r="B9" s="62"/>
      <c r="C9" s="261">
        <v>100.26689124086666</v>
      </c>
      <c r="D9" s="262">
        <v>102.59693822821794</v>
      </c>
      <c r="E9" s="262">
        <v>97.940520020602435</v>
      </c>
      <c r="F9" s="262">
        <v>84.506122255080101</v>
      </c>
      <c r="G9" s="262">
        <v>113.06154711169418</v>
      </c>
      <c r="H9" s="262">
        <v>83.529671978228052</v>
      </c>
      <c r="I9" s="63">
        <v>98.780123481378197</v>
      </c>
      <c r="J9" s="64">
        <v>111.25306623058053</v>
      </c>
    </row>
    <row r="10" spans="1:10" ht="15" hidden="1" customHeight="1" outlineLevel="1" collapsed="1" x14ac:dyDescent="0.2">
      <c r="A10" s="61" t="s">
        <v>18</v>
      </c>
      <c r="B10" s="62"/>
      <c r="C10" s="404">
        <v>100</v>
      </c>
      <c r="D10" s="405">
        <v>100</v>
      </c>
      <c r="E10" s="405">
        <v>100</v>
      </c>
      <c r="F10" s="405">
        <v>100</v>
      </c>
      <c r="G10" s="405">
        <v>100</v>
      </c>
      <c r="H10" s="405">
        <v>100</v>
      </c>
      <c r="I10" s="405">
        <v>100</v>
      </c>
      <c r="J10" s="406">
        <v>100</v>
      </c>
    </row>
    <row r="11" spans="1:10" ht="12.75" hidden="1" customHeight="1" outlineLevel="1" x14ac:dyDescent="0.2">
      <c r="A11" s="61" t="s">
        <v>19</v>
      </c>
      <c r="B11" s="62"/>
      <c r="C11" s="404">
        <f>AVERAGEA(C43:C47)</f>
        <v>85.981789634917178</v>
      </c>
      <c r="D11" s="404">
        <f>AVERAGEA(D43:D47)</f>
        <v>94.088440968692694</v>
      </c>
      <c r="E11" s="404">
        <f t="shared" ref="E11:J11" si="0">AVERAGEA(E43:E47)</f>
        <v>93.795997787146376</v>
      </c>
      <c r="F11" s="404">
        <f t="shared" si="0"/>
        <v>78.185532238334446</v>
      </c>
      <c r="G11" s="404">
        <f t="shared" si="0"/>
        <v>81.192806329908151</v>
      </c>
      <c r="H11" s="404">
        <f t="shared" si="0"/>
        <v>87.729716214526817</v>
      </c>
      <c r="I11" s="404">
        <f t="shared" si="0"/>
        <v>78.853813981278648</v>
      </c>
      <c r="J11" s="407">
        <f t="shared" si="0"/>
        <v>55.325020441537198</v>
      </c>
    </row>
    <row r="12" spans="1:10" ht="12.75" hidden="1" customHeight="1" outlineLevel="1" x14ac:dyDescent="0.2">
      <c r="A12" s="61" t="s">
        <v>20</v>
      </c>
      <c r="B12" s="62"/>
      <c r="C12" s="404">
        <f>AVERAGEA(C48:C52)</f>
        <v>129.57365382156627</v>
      </c>
      <c r="D12" s="404">
        <f t="shared" ref="D12:J12" si="1">AVERAGEA(D48:D52)</f>
        <v>171.19564384555264</v>
      </c>
      <c r="E12" s="404">
        <f t="shared" si="1"/>
        <v>123.39926365387917</v>
      </c>
      <c r="F12" s="404">
        <f t="shared" si="1"/>
        <v>78.791225757413798</v>
      </c>
      <c r="G12" s="404">
        <f t="shared" si="1"/>
        <v>130.27241095510885</v>
      </c>
      <c r="H12" s="404">
        <f t="shared" si="1"/>
        <v>69.597642012943936</v>
      </c>
      <c r="I12" s="404">
        <f t="shared" si="1"/>
        <v>118.04172475602471</v>
      </c>
      <c r="J12" s="407">
        <f t="shared" si="1"/>
        <v>41.128372853638595</v>
      </c>
    </row>
    <row r="13" spans="1:10" ht="15" customHeight="1" collapsed="1" x14ac:dyDescent="0.2">
      <c r="A13" s="61" t="s">
        <v>21</v>
      </c>
      <c r="B13" s="62"/>
      <c r="C13" s="404">
        <f>AVERAGEA(C53:C57)</f>
        <v>119.46062598497325</v>
      </c>
      <c r="D13" s="404">
        <f t="shared" ref="D13:J13" si="2">AVERAGEA(D53:D57)</f>
        <v>163.60200031669979</v>
      </c>
      <c r="E13" s="404">
        <f t="shared" si="2"/>
        <v>136.55689132218004</v>
      </c>
      <c r="F13" s="404">
        <f t="shared" si="2"/>
        <v>50.590848089690134</v>
      </c>
      <c r="G13" s="404">
        <f t="shared" si="2"/>
        <v>89.03429786748589</v>
      </c>
      <c r="H13" s="404">
        <f t="shared" si="2"/>
        <v>99.238366334253328</v>
      </c>
      <c r="I13" s="404">
        <f t="shared" si="2"/>
        <v>154.3890659231229</v>
      </c>
      <c r="J13" s="407">
        <f t="shared" si="2"/>
        <v>114.96320523303352</v>
      </c>
    </row>
    <row r="14" spans="1:10" ht="12.75" customHeight="1" x14ac:dyDescent="0.2">
      <c r="A14" s="65" t="s">
        <v>22</v>
      </c>
      <c r="B14" s="66"/>
      <c r="C14" s="408">
        <f>AVERAGEA(C58:C62)</f>
        <v>83.46461142993499</v>
      </c>
      <c r="D14" s="408">
        <f t="shared" ref="D14:J14" si="3">AVERAGEA(D58:D62)</f>
        <v>119.24257671030654</v>
      </c>
      <c r="E14" s="408">
        <f t="shared" si="3"/>
        <v>238.8545048740009</v>
      </c>
      <c r="F14" s="408">
        <f t="shared" si="3"/>
        <v>26.258595503616345</v>
      </c>
      <c r="G14" s="408">
        <f t="shared" si="3"/>
        <v>43.592271775356707</v>
      </c>
      <c r="H14" s="408">
        <f t="shared" si="3"/>
        <v>67.306490234356204</v>
      </c>
      <c r="I14" s="408">
        <f t="shared" si="3"/>
        <v>90.496415056761634</v>
      </c>
      <c r="J14" s="409">
        <f t="shared" si="3"/>
        <v>52.933360588716269</v>
      </c>
    </row>
    <row r="15" spans="1:10" ht="12.75" customHeight="1" x14ac:dyDescent="0.2">
      <c r="A15" s="65" t="s">
        <v>23</v>
      </c>
      <c r="B15" s="66"/>
      <c r="C15" s="408">
        <f>AVERAGEA(C63:C67)</f>
        <v>97.614266813022695</v>
      </c>
      <c r="D15" s="408">
        <f t="shared" ref="D15:J15" si="4">AVERAGEA(D63:D67)</f>
        <v>116.53734758822898</v>
      </c>
      <c r="E15" s="408">
        <f t="shared" si="4"/>
        <v>373.72721161366633</v>
      </c>
      <c r="F15" s="408">
        <f t="shared" si="4"/>
        <v>10.314604339615919</v>
      </c>
      <c r="G15" s="408">
        <f t="shared" si="4"/>
        <v>95.987526788842814</v>
      </c>
      <c r="H15" s="408">
        <f t="shared" si="4"/>
        <v>34.965668785521267</v>
      </c>
      <c r="I15" s="408">
        <f t="shared" si="4"/>
        <v>127.37004580760807</v>
      </c>
      <c r="J15" s="409">
        <f t="shared" si="4"/>
        <v>18.458708094848731</v>
      </c>
    </row>
    <row r="16" spans="1:10" ht="12.75" customHeight="1" x14ac:dyDescent="0.2">
      <c r="A16" s="65" t="s">
        <v>24</v>
      </c>
      <c r="B16" s="66"/>
      <c r="C16" s="404">
        <f>AVERAGEA(C68:C72)</f>
        <v>67.712669208552597</v>
      </c>
      <c r="D16" s="404">
        <f t="shared" ref="D16:J16" si="5">AVERAGEA(D68:D72)</f>
        <v>81.026618106033126</v>
      </c>
      <c r="E16" s="404">
        <f t="shared" si="5"/>
        <v>117.79604357032488</v>
      </c>
      <c r="F16" s="404">
        <f t="shared" si="5"/>
        <v>29.363071697485772</v>
      </c>
      <c r="G16" s="404">
        <f t="shared" si="5"/>
        <v>53.714583723791748</v>
      </c>
      <c r="H16" s="404">
        <f t="shared" si="5"/>
        <v>59.411272562916515</v>
      </c>
      <c r="I16" s="404">
        <f t="shared" si="5"/>
        <v>114.93975303724358</v>
      </c>
      <c r="J16" s="407">
        <f t="shared" si="5"/>
        <v>36.518806214227311</v>
      </c>
    </row>
    <row r="17" spans="1:30" s="279" customFormat="1" ht="12.75" customHeight="1" x14ac:dyDescent="0.2">
      <c r="A17" s="361" t="s">
        <v>25</v>
      </c>
      <c r="B17" s="362"/>
      <c r="C17" s="410">
        <f>AVERAGEA(C73:C77)</f>
        <v>85.054991538260367</v>
      </c>
      <c r="D17" s="410">
        <f t="shared" ref="D17:J17" si="6">AVERAGEA(D73:D77)</f>
        <v>111.88850124381287</v>
      </c>
      <c r="E17" s="410">
        <f t="shared" si="6"/>
        <v>149.84834322122816</v>
      </c>
      <c r="F17" s="410">
        <f t="shared" si="6"/>
        <v>37.735893872994374</v>
      </c>
      <c r="G17" s="410">
        <f t="shared" si="6"/>
        <v>65.999559970338737</v>
      </c>
      <c r="H17" s="410">
        <f t="shared" si="6"/>
        <v>40.908959773817877</v>
      </c>
      <c r="I17" s="410">
        <f t="shared" si="6"/>
        <v>135.81706831308509</v>
      </c>
      <c r="J17" s="411">
        <f t="shared" si="6"/>
        <v>29.006541291905151</v>
      </c>
    </row>
    <row r="18" spans="1:30" ht="12.75" customHeight="1" x14ac:dyDescent="0.2">
      <c r="A18" s="65" t="s">
        <v>26</v>
      </c>
      <c r="B18" s="66"/>
      <c r="C18" s="408">
        <f>AVERAGEA(C78:C82)</f>
        <v>83.126584156080057</v>
      </c>
      <c r="D18" s="408">
        <f t="shared" ref="D18:I18" si="7">AVERAGEA(D78:D82)</f>
        <v>103.95026791780109</v>
      </c>
      <c r="E18" s="408">
        <f t="shared" si="7"/>
        <v>159.67341332672021</v>
      </c>
      <c r="F18" s="408">
        <f t="shared" si="7"/>
        <v>47.805132955665606</v>
      </c>
      <c r="G18" s="408">
        <f t="shared" si="7"/>
        <v>68.361378433657379</v>
      </c>
      <c r="H18" s="408">
        <f t="shared" si="7"/>
        <v>50.790771923413502</v>
      </c>
      <c r="I18" s="408">
        <f t="shared" si="7"/>
        <v>106.7456582354113</v>
      </c>
      <c r="J18" s="409">
        <f>AVERAGEA(J78:J82)</f>
        <v>25.253475061324608</v>
      </c>
    </row>
    <row r="19" spans="1:30" ht="12.75" customHeight="1" x14ac:dyDescent="0.2">
      <c r="A19" s="65" t="s">
        <v>111</v>
      </c>
      <c r="B19" s="66"/>
      <c r="C19" s="408">
        <f>AVERAGEA(C83:C87)</f>
        <v>104.11432408796952</v>
      </c>
      <c r="D19" s="408">
        <f t="shared" ref="D19:J19" si="8">AVERAGEA(D83:D87)</f>
        <v>115.32724792995826</v>
      </c>
      <c r="E19" s="408">
        <f t="shared" si="8"/>
        <v>293.39692108124609</v>
      </c>
      <c r="F19" s="408">
        <f t="shared" si="8"/>
        <v>62.581204498758908</v>
      </c>
      <c r="G19" s="408">
        <f t="shared" si="8"/>
        <v>85.549914846111847</v>
      </c>
      <c r="H19" s="408">
        <f t="shared" si="8"/>
        <v>45.907180705280474</v>
      </c>
      <c r="I19" s="408">
        <f t="shared" si="8"/>
        <v>161.33489344752044</v>
      </c>
      <c r="J19" s="409">
        <f t="shared" si="8"/>
        <v>60.016353229762885</v>
      </c>
    </row>
    <row r="20" spans="1:30" ht="12.75" customHeight="1" x14ac:dyDescent="0.2">
      <c r="A20" s="451" t="s">
        <v>121</v>
      </c>
      <c r="B20" s="66"/>
      <c r="C20" s="408">
        <f t="shared" ref="C20:J20" si="9">AVERAGEA(C88:C92)</f>
        <v>96.509851726837212</v>
      </c>
      <c r="D20" s="408">
        <f t="shared" si="9"/>
        <v>133.64935204245819</v>
      </c>
      <c r="E20" s="408">
        <f t="shared" si="9"/>
        <v>270.54195837546024</v>
      </c>
      <c r="F20" s="408">
        <f t="shared" si="9"/>
        <v>37.384354105058129</v>
      </c>
      <c r="G20" s="408">
        <f t="shared" si="9"/>
        <v>48.206064260627933</v>
      </c>
      <c r="H20" s="408">
        <f t="shared" si="9"/>
        <v>28.400184638464424</v>
      </c>
      <c r="I20" s="408">
        <f t="shared" si="9"/>
        <v>165.13144791874134</v>
      </c>
      <c r="J20" s="409">
        <f t="shared" si="9"/>
        <v>87.397792313982023</v>
      </c>
    </row>
    <row r="21" spans="1:30" ht="12.75" customHeight="1" x14ac:dyDescent="0.2">
      <c r="A21" s="830" t="s">
        <v>122</v>
      </c>
      <c r="B21" s="831"/>
      <c r="C21" s="408">
        <f>AVERAGEA(C93:C97)</f>
        <v>72.809746771748564</v>
      </c>
      <c r="D21" s="408">
        <f t="shared" ref="D21:J21" si="10">AVERAGEA(D93:D97)</f>
        <v>115.96677717105362</v>
      </c>
      <c r="E21" s="408">
        <f t="shared" si="10"/>
        <v>208.69346254363711</v>
      </c>
      <c r="F21" s="408">
        <f t="shared" si="10"/>
        <v>12.625740786926521</v>
      </c>
      <c r="G21" s="408">
        <f t="shared" si="10"/>
        <v>38.467555961179599</v>
      </c>
      <c r="H21" s="408">
        <f t="shared" si="10"/>
        <v>28.758402492619272</v>
      </c>
      <c r="I21" s="408">
        <f t="shared" si="10"/>
        <v>76.882095200159341</v>
      </c>
      <c r="J21" s="409">
        <f t="shared" si="10"/>
        <v>26.195829926410468</v>
      </c>
    </row>
    <row r="22" spans="1:30" ht="18" hidden="1" customHeight="1" outlineLevel="1" x14ac:dyDescent="0.2">
      <c r="A22" s="72">
        <v>1984</v>
      </c>
      <c r="B22" s="67"/>
      <c r="C22" s="412"/>
      <c r="D22" s="413"/>
      <c r="E22" s="413"/>
      <c r="F22" s="413"/>
      <c r="G22" s="413"/>
      <c r="H22" s="413"/>
      <c r="I22" s="413"/>
      <c r="J22" s="414"/>
      <c r="AD22" s="68"/>
    </row>
    <row r="23" spans="1:30" ht="11.1" hidden="1" customHeight="1" outlineLevel="1" x14ac:dyDescent="0.2">
      <c r="A23" s="69" t="s">
        <v>29</v>
      </c>
      <c r="B23" s="67"/>
      <c r="C23" s="412">
        <v>88.637138199392552</v>
      </c>
      <c r="D23" s="413">
        <v>119.49797976186218</v>
      </c>
      <c r="E23" s="413">
        <v>104.88315751321036</v>
      </c>
      <c r="F23" s="413">
        <v>65.894704338428284</v>
      </c>
      <c r="G23" s="413">
        <v>70.460156943912523</v>
      </c>
      <c r="H23" s="413">
        <v>24.387663842595703</v>
      </c>
      <c r="I23" s="413">
        <v>115.49492133041228</v>
      </c>
      <c r="J23" s="414">
        <v>21.463614063777595</v>
      </c>
      <c r="AD23" s="68"/>
    </row>
    <row r="24" spans="1:30" ht="11.1" hidden="1" customHeight="1" outlineLevel="1" x14ac:dyDescent="0.2">
      <c r="A24" s="69" t="s">
        <v>30</v>
      </c>
      <c r="B24" s="67"/>
      <c r="C24" s="412">
        <v>115.14935100396502</v>
      </c>
      <c r="D24" s="413">
        <v>92.913586931536656</v>
      </c>
      <c r="E24" s="413">
        <v>106.87777798973694</v>
      </c>
      <c r="F24" s="413">
        <v>61.894751843802318</v>
      </c>
      <c r="G24" s="413">
        <v>213.43068310530558</v>
      </c>
      <c r="H24" s="413">
        <v>54.641445565311045</v>
      </c>
      <c r="I24" s="413">
        <v>128.26130252937665</v>
      </c>
      <c r="J24" s="414">
        <v>7.5224856909239577</v>
      </c>
      <c r="AD24" s="68"/>
    </row>
    <row r="25" spans="1:30" ht="18" hidden="1" customHeight="1" outlineLevel="1" x14ac:dyDescent="0.2">
      <c r="A25" s="72">
        <v>1985</v>
      </c>
      <c r="B25" s="67"/>
      <c r="C25" s="412"/>
      <c r="D25" s="413"/>
      <c r="E25" s="413"/>
      <c r="F25" s="413"/>
      <c r="G25" s="413"/>
      <c r="H25" s="413"/>
      <c r="I25" s="413"/>
      <c r="J25" s="414"/>
      <c r="AD25" s="68"/>
    </row>
    <row r="26" spans="1:30" ht="11.1" hidden="1" customHeight="1" outlineLevel="1" x14ac:dyDescent="0.2">
      <c r="A26" s="69" t="s">
        <v>27</v>
      </c>
      <c r="B26" s="67"/>
      <c r="C26" s="412">
        <v>108.45249358841929</v>
      </c>
      <c r="D26" s="413">
        <v>97.237049788270866</v>
      </c>
      <c r="E26" s="413">
        <v>222.11861658495641</v>
      </c>
      <c r="F26" s="413">
        <v>88.33149250008907</v>
      </c>
      <c r="G26" s="413">
        <v>151.07359088649679</v>
      </c>
      <c r="H26" s="413">
        <v>41.841768682623787</v>
      </c>
      <c r="I26" s="413">
        <v>71.898028281218899</v>
      </c>
      <c r="J26" s="414">
        <v>150.9403107113655</v>
      </c>
      <c r="AD26" s="68"/>
    </row>
    <row r="27" spans="1:30" ht="11.1" hidden="1" customHeight="1" outlineLevel="1" x14ac:dyDescent="0.2">
      <c r="A27" s="69" t="s">
        <v>28</v>
      </c>
      <c r="B27" s="67"/>
      <c r="C27" s="412">
        <v>109.94858560269631</v>
      </c>
      <c r="D27" s="413">
        <v>106.41725707338752</v>
      </c>
      <c r="E27" s="413">
        <v>186.76026783159423</v>
      </c>
      <c r="F27" s="413">
        <v>62.958872222420162</v>
      </c>
      <c r="G27" s="413">
        <v>154.16031747325189</v>
      </c>
      <c r="H27" s="413">
        <v>52.266148653197043</v>
      </c>
      <c r="I27" s="413">
        <v>70.822545309699265</v>
      </c>
      <c r="J27" s="414">
        <v>264.84055600981196</v>
      </c>
      <c r="AD27" s="68"/>
    </row>
    <row r="28" spans="1:30" ht="11.1" hidden="1" customHeight="1" outlineLevel="1" x14ac:dyDescent="0.2">
      <c r="A28" s="69" t="s">
        <v>29</v>
      </c>
      <c r="B28" s="67"/>
      <c r="C28" s="412">
        <v>124.4224345595382</v>
      </c>
      <c r="D28" s="415">
        <v>153.60756810322371</v>
      </c>
      <c r="E28" s="415">
        <v>162.02056427767496</v>
      </c>
      <c r="F28" s="415">
        <v>63.647700146079025</v>
      </c>
      <c r="G28" s="415">
        <v>148.96796747039986</v>
      </c>
      <c r="H28" s="415">
        <v>24.224181868887452</v>
      </c>
      <c r="I28" s="415">
        <v>123.52121091416055</v>
      </c>
      <c r="J28" s="414">
        <v>101.34914145543745</v>
      </c>
      <c r="AD28" s="68"/>
    </row>
    <row r="29" spans="1:30" ht="11.1" hidden="1" customHeight="1" outlineLevel="1" x14ac:dyDescent="0.2">
      <c r="A29" s="69" t="s">
        <v>30</v>
      </c>
      <c r="B29" s="67"/>
      <c r="C29" s="412">
        <v>125.76305908349168</v>
      </c>
      <c r="D29" s="415">
        <v>109.15517778606419</v>
      </c>
      <c r="E29" s="415">
        <v>174.72387020468895</v>
      </c>
      <c r="F29" s="415">
        <v>99.338487666417251</v>
      </c>
      <c r="G29" s="415">
        <v>142.36752255152012</v>
      </c>
      <c r="H29" s="415">
        <v>208.61261503841826</v>
      </c>
      <c r="I29" s="415">
        <v>120.15534754033067</v>
      </c>
      <c r="J29" s="414">
        <v>38.716271463614063</v>
      </c>
      <c r="AD29" s="68"/>
    </row>
    <row r="30" spans="1:30" ht="18" hidden="1" customHeight="1" outlineLevel="1" x14ac:dyDescent="0.2">
      <c r="A30" s="61" t="s">
        <v>54</v>
      </c>
      <c r="B30" s="67"/>
      <c r="C30" s="412"/>
      <c r="D30" s="413"/>
      <c r="E30" s="413"/>
      <c r="F30" s="413"/>
      <c r="G30" s="413"/>
      <c r="H30" s="413"/>
      <c r="I30" s="413" t="s">
        <v>2</v>
      </c>
      <c r="J30" s="414"/>
      <c r="AD30" s="68"/>
    </row>
    <row r="31" spans="1:30" ht="11.1" hidden="1" customHeight="1" outlineLevel="1" x14ac:dyDescent="0.2">
      <c r="A31" s="69" t="s">
        <v>27</v>
      </c>
      <c r="B31" s="67"/>
      <c r="C31" s="412">
        <v>103.78666036615338</v>
      </c>
      <c r="D31" s="415">
        <v>44.908029361134801</v>
      </c>
      <c r="E31" s="415">
        <v>164.63630987581314</v>
      </c>
      <c r="F31" s="415">
        <v>139.30950938824952</v>
      </c>
      <c r="G31" s="415">
        <v>153.23462544512259</v>
      </c>
      <c r="H31" s="415">
        <v>117.3800571225249</v>
      </c>
      <c r="I31" s="415">
        <v>99.223262298346953</v>
      </c>
      <c r="J31" s="414">
        <v>181.07113654946849</v>
      </c>
    </row>
    <row r="32" spans="1:30" ht="11.1" hidden="1" customHeight="1" outlineLevel="1" x14ac:dyDescent="0.2">
      <c r="A32" s="69" t="s">
        <v>28</v>
      </c>
      <c r="B32" s="67"/>
      <c r="C32" s="412">
        <v>83.187443962350244</v>
      </c>
      <c r="D32" s="415">
        <v>76.253135072457852</v>
      </c>
      <c r="E32" s="415">
        <v>150.35195818469697</v>
      </c>
      <c r="F32" s="415">
        <v>102.23631548318903</v>
      </c>
      <c r="G32" s="415">
        <v>66.04356293646461</v>
      </c>
      <c r="H32" s="415">
        <v>77.221191110427242</v>
      </c>
      <c r="I32" s="415">
        <v>79.267078271260701</v>
      </c>
      <c r="J32" s="414">
        <v>164.55437448896157</v>
      </c>
    </row>
    <row r="33" spans="1:30" ht="11.1" hidden="1" customHeight="1" outlineLevel="1" x14ac:dyDescent="0.2">
      <c r="A33" s="69" t="s">
        <v>29</v>
      </c>
      <c r="B33" s="67"/>
      <c r="C33" s="412">
        <v>91.313478427497031</v>
      </c>
      <c r="D33" s="415">
        <v>105.72051754874366</v>
      </c>
      <c r="E33" s="415">
        <v>86.734705556933292</v>
      </c>
      <c r="F33" s="415">
        <v>93.362311611501056</v>
      </c>
      <c r="G33" s="415">
        <v>48.116428588890066</v>
      </c>
      <c r="H33" s="415">
        <v>93.550155307875031</v>
      </c>
      <c r="I33" s="415">
        <v>147.83907588129856</v>
      </c>
      <c r="J33" s="414">
        <v>95.870809484873249</v>
      </c>
    </row>
    <row r="34" spans="1:30" ht="11.1" hidden="1" customHeight="1" outlineLevel="1" x14ac:dyDescent="0.2">
      <c r="A34" s="69" t="s">
        <v>30</v>
      </c>
      <c r="B34" s="67"/>
      <c r="C34" s="412">
        <v>120.6586615657139</v>
      </c>
      <c r="D34" s="415">
        <v>99.376305748101075</v>
      </c>
      <c r="E34" s="415">
        <v>91.93567463421148</v>
      </c>
      <c r="F34" s="415">
        <v>81.300697141364097</v>
      </c>
      <c r="G34" s="415">
        <v>204.395407394128</v>
      </c>
      <c r="H34" s="415">
        <v>77.480838951022719</v>
      </c>
      <c r="I34" s="415">
        <v>134.95319657438753</v>
      </c>
      <c r="J34" s="414">
        <v>23.916598528209317</v>
      </c>
    </row>
    <row r="35" spans="1:30" ht="18" hidden="1" customHeight="1" outlineLevel="1" x14ac:dyDescent="0.2">
      <c r="A35" s="61" t="s">
        <v>55</v>
      </c>
      <c r="B35" s="67"/>
      <c r="C35" s="412"/>
      <c r="D35" s="413"/>
      <c r="E35" s="413"/>
      <c r="F35" s="413"/>
      <c r="G35" s="413"/>
      <c r="H35" s="413"/>
      <c r="I35" s="413"/>
      <c r="J35" s="414"/>
      <c r="AD35" s="68"/>
    </row>
    <row r="36" spans="1:30" ht="11.1" hidden="1" customHeight="1" outlineLevel="1" x14ac:dyDescent="0.2">
      <c r="A36" s="69" t="s">
        <v>27</v>
      </c>
      <c r="B36" s="67"/>
      <c r="C36" s="412">
        <v>86.61289592820826</v>
      </c>
      <c r="D36" s="415">
        <v>83.825324744980051</v>
      </c>
      <c r="E36" s="415">
        <v>133.43965204784345</v>
      </c>
      <c r="F36" s="415">
        <v>82.773363736772737</v>
      </c>
      <c r="G36" s="415">
        <v>105.00411509220251</v>
      </c>
      <c r="H36" s="415">
        <v>53.61247078961793</v>
      </c>
      <c r="I36" s="415">
        <v>49.053973312089227</v>
      </c>
      <c r="J36" s="414">
        <v>134.70973017170894</v>
      </c>
    </row>
    <row r="37" spans="1:30" ht="11.1" hidden="1" customHeight="1" outlineLevel="1" x14ac:dyDescent="0.2">
      <c r="A37" s="69" t="s">
        <v>28</v>
      </c>
      <c r="B37" s="67"/>
      <c r="C37" s="412">
        <v>102.48252904204733</v>
      </c>
      <c r="D37" s="415">
        <v>121.46560487104701</v>
      </c>
      <c r="E37" s="415">
        <v>79.652047843421542</v>
      </c>
      <c r="F37" s="415">
        <v>80.588116530682512</v>
      </c>
      <c r="G37" s="415">
        <v>94.730237371556143</v>
      </c>
      <c r="H37" s="415">
        <v>109.47522286439653</v>
      </c>
      <c r="I37" s="415">
        <v>63.27424815773751</v>
      </c>
      <c r="J37" s="414">
        <v>190.51512673753064</v>
      </c>
    </row>
    <row r="38" spans="1:30" ht="11.1" hidden="1" customHeight="1" outlineLevel="1" x14ac:dyDescent="0.2">
      <c r="A38" s="69" t="s">
        <v>29</v>
      </c>
      <c r="B38" s="67"/>
      <c r="C38" s="412">
        <v>101.23127087439288</v>
      </c>
      <c r="D38" s="415">
        <v>121.73531049348976</v>
      </c>
      <c r="E38" s="415">
        <v>96.607084946872433</v>
      </c>
      <c r="F38" s="415">
        <v>52.089642640823733</v>
      </c>
      <c r="G38" s="415">
        <v>108.19514500607077</v>
      </c>
      <c r="H38" s="415">
        <v>69.275967188206209</v>
      </c>
      <c r="I38" s="415">
        <v>129.09778928500299</v>
      </c>
      <c r="J38" s="414">
        <v>58.299264104660665</v>
      </c>
    </row>
    <row r="39" spans="1:30" ht="11.1" hidden="1" customHeight="1" outlineLevel="1" x14ac:dyDescent="0.2">
      <c r="A39" s="69" t="s">
        <v>30</v>
      </c>
      <c r="B39" s="67"/>
      <c r="C39" s="412">
        <v>122.29116709871278</v>
      </c>
      <c r="D39" s="415">
        <v>154.81307050656642</v>
      </c>
      <c r="E39" s="415">
        <v>101.06026210869688</v>
      </c>
      <c r="F39" s="415">
        <v>123.42371230745476</v>
      </c>
      <c r="G39" s="415">
        <v>84.782307548138434</v>
      </c>
      <c r="H39" s="415">
        <v>46.43849711983227</v>
      </c>
      <c r="I39" s="415">
        <v>192.61103365863372</v>
      </c>
      <c r="J39" s="414">
        <v>13.450531479967292</v>
      </c>
    </row>
    <row r="40" spans="1:30" ht="18" hidden="1" customHeight="1" outlineLevel="1" x14ac:dyDescent="0.2">
      <c r="A40" s="61" t="s">
        <v>31</v>
      </c>
      <c r="B40" s="62"/>
      <c r="C40" s="416"/>
      <c r="D40" s="413"/>
      <c r="E40" s="413"/>
      <c r="F40" s="413"/>
      <c r="G40" s="413"/>
      <c r="H40" s="413"/>
      <c r="I40" s="413"/>
      <c r="J40" s="414"/>
      <c r="AD40" s="68"/>
    </row>
    <row r="41" spans="1:30" ht="11.1" hidden="1" customHeight="1" outlineLevel="1" x14ac:dyDescent="0.2">
      <c r="A41" s="69" t="s">
        <v>27</v>
      </c>
      <c r="B41" s="67"/>
      <c r="C41" s="412">
        <v>95.758931476524864</v>
      </c>
      <c r="D41" s="415">
        <v>53.749061393785524</v>
      </c>
      <c r="E41" s="415">
        <v>113.29810572098968</v>
      </c>
      <c r="F41" s="415">
        <v>147.25240792864693</v>
      </c>
      <c r="G41" s="415">
        <v>98.93822472477774</v>
      </c>
      <c r="H41" s="415">
        <v>204.55441545577813</v>
      </c>
      <c r="I41" s="415">
        <v>51.762597092212715</v>
      </c>
      <c r="J41" s="414">
        <v>132.25674570727719</v>
      </c>
      <c r="AD41" s="68"/>
    </row>
    <row r="42" spans="1:30" ht="11.1" hidden="1" customHeight="1" outlineLevel="1" x14ac:dyDescent="0.2">
      <c r="A42" s="69" t="s">
        <v>28</v>
      </c>
      <c r="B42" s="67"/>
      <c r="C42" s="412">
        <v>80.71863055036944</v>
      </c>
      <c r="D42" s="415">
        <v>69.70255760615828</v>
      </c>
      <c r="E42" s="415">
        <v>89.034547223440995</v>
      </c>
      <c r="F42" s="415">
        <v>77.23423712307455</v>
      </c>
      <c r="G42" s="415">
        <v>108.08432272101305</v>
      </c>
      <c r="H42" s="415">
        <v>79.731120236183372</v>
      </c>
      <c r="I42" s="415">
        <v>26.528579964150566</v>
      </c>
      <c r="J42" s="414">
        <v>195.99345870809486</v>
      </c>
    </row>
    <row r="43" spans="1:30" ht="11.1" hidden="1" customHeight="1" outlineLevel="1" x14ac:dyDescent="0.2">
      <c r="A43" s="69" t="s">
        <v>29</v>
      </c>
      <c r="B43" s="67"/>
      <c r="C43" s="412">
        <v>82.755338640262707</v>
      </c>
      <c r="D43" s="415">
        <v>111.26991505294505</v>
      </c>
      <c r="E43" s="415">
        <v>106.92203506228419</v>
      </c>
      <c r="F43" s="415">
        <v>74.288903932257327</v>
      </c>
      <c r="G43" s="415">
        <v>48.165320773474349</v>
      </c>
      <c r="H43" s="415">
        <v>34.581245732639658</v>
      </c>
      <c r="I43" s="415">
        <v>112.11909978092014</v>
      </c>
      <c r="J43" s="414">
        <v>49.223221586263286</v>
      </c>
    </row>
    <row r="44" spans="1:30" ht="11.1" hidden="1" customHeight="1" outlineLevel="1" x14ac:dyDescent="0.2">
      <c r="A44" s="69" t="s">
        <v>30</v>
      </c>
      <c r="B44" s="67"/>
      <c r="C44" s="412">
        <v>99.148729909080586</v>
      </c>
      <c r="D44" s="415">
        <v>123.351501003734</v>
      </c>
      <c r="E44" s="415">
        <v>67.011312260353691</v>
      </c>
      <c r="F44" s="415">
        <v>61.562214225484247</v>
      </c>
      <c r="G44" s="415">
        <v>100.45062296791858</v>
      </c>
      <c r="H44" s="415">
        <v>67.546904901574237</v>
      </c>
      <c r="I44" s="415">
        <v>120.93208524198369</v>
      </c>
      <c r="J44" s="414">
        <v>38.675388389206859</v>
      </c>
    </row>
    <row r="45" spans="1:30" ht="18" hidden="1" customHeight="1" outlineLevel="1" x14ac:dyDescent="0.2">
      <c r="A45" s="61" t="s">
        <v>32</v>
      </c>
      <c r="B45" s="62"/>
      <c r="C45" s="416"/>
      <c r="D45" s="413"/>
      <c r="E45" s="413"/>
      <c r="F45" s="413"/>
      <c r="G45" s="413"/>
      <c r="H45" s="413"/>
      <c r="I45" s="413"/>
      <c r="J45" s="414"/>
      <c r="AD45" s="68"/>
    </row>
    <row r="46" spans="1:30" ht="11.1" hidden="1" customHeight="1" outlineLevel="1" x14ac:dyDescent="0.2">
      <c r="A46" s="69" t="s">
        <v>27</v>
      </c>
      <c r="B46" s="67"/>
      <c r="C46" s="412">
        <v>72.701106838751372</v>
      </c>
      <c r="D46" s="415">
        <v>59.837870142872475</v>
      </c>
      <c r="E46" s="415">
        <v>97.602106026210876</v>
      </c>
      <c r="F46" s="415">
        <v>79.129701547487542</v>
      </c>
      <c r="G46" s="415">
        <v>98.595979432687685</v>
      </c>
      <c r="H46" s="415">
        <v>58.093800186561786</v>
      </c>
      <c r="I46" s="415">
        <v>46.803425612427809</v>
      </c>
      <c r="J46" s="414">
        <v>62.796402289452161</v>
      </c>
      <c r="AD46" s="68"/>
    </row>
    <row r="47" spans="1:30" ht="11.1" hidden="1" customHeight="1" outlineLevel="1" x14ac:dyDescent="0.2">
      <c r="A47" s="69" t="s">
        <v>28</v>
      </c>
      <c r="B47" s="67"/>
      <c r="C47" s="412">
        <v>89.321983151574045</v>
      </c>
      <c r="D47" s="415">
        <v>81.894477675219264</v>
      </c>
      <c r="E47" s="415">
        <v>103.64853779973674</v>
      </c>
      <c r="F47" s="415">
        <v>97.761309248108674</v>
      </c>
      <c r="G47" s="415">
        <v>77.559302145552024</v>
      </c>
      <c r="H47" s="415">
        <v>190.6969140373316</v>
      </c>
      <c r="I47" s="415">
        <v>35.560645289782919</v>
      </c>
      <c r="J47" s="414">
        <v>70.605069501226495</v>
      </c>
    </row>
    <row r="48" spans="1:30" ht="11.1" hidden="1" customHeight="1" outlineLevel="1" x14ac:dyDescent="0.2">
      <c r="A48" s="69" t="s">
        <v>29</v>
      </c>
      <c r="B48" s="67"/>
      <c r="C48" s="412">
        <v>112.94076963125042</v>
      </c>
      <c r="D48" s="415">
        <v>167.75076748616993</v>
      </c>
      <c r="E48" s="415">
        <v>48.705671391236343</v>
      </c>
      <c r="F48" s="415">
        <v>24.869063312787258</v>
      </c>
      <c r="G48" s="415">
        <v>91.304524971683279</v>
      </c>
      <c r="H48" s="415">
        <v>98.896977506803736</v>
      </c>
      <c r="I48" s="415">
        <v>167.11810396335395</v>
      </c>
      <c r="J48" s="414">
        <v>26.24693376941946</v>
      </c>
    </row>
    <row r="49" spans="1:30" ht="11.1" hidden="1" customHeight="1" outlineLevel="1" x14ac:dyDescent="0.2">
      <c r="A49" s="69" t="s">
        <v>30</v>
      </c>
      <c r="B49" s="67"/>
      <c r="C49" s="412">
        <v>172.339426933396</v>
      </c>
      <c r="D49" s="415">
        <v>203.33352062890447</v>
      </c>
      <c r="E49" s="415">
        <v>150.17645600045785</v>
      </c>
      <c r="F49" s="415">
        <v>91.780382655787918</v>
      </c>
      <c r="G49" s="415">
        <v>226.18828380283412</v>
      </c>
      <c r="H49" s="415">
        <v>64.604229374825707</v>
      </c>
      <c r="I49" s="415">
        <v>181.62716590320653</v>
      </c>
      <c r="J49" s="414">
        <v>39.41128372853639</v>
      </c>
      <c r="AD49" s="68"/>
    </row>
    <row r="50" spans="1:30" ht="15" hidden="1" customHeight="1" outlineLevel="1" x14ac:dyDescent="0.2">
      <c r="A50" s="61" t="s">
        <v>33</v>
      </c>
      <c r="B50" s="62"/>
      <c r="C50" s="416"/>
      <c r="D50" s="413"/>
      <c r="E50" s="413"/>
      <c r="F50" s="413"/>
      <c r="G50" s="413"/>
      <c r="H50" s="413"/>
      <c r="I50" s="413"/>
      <c r="J50" s="414"/>
      <c r="AD50" s="68"/>
    </row>
    <row r="51" spans="1:30" ht="11.1" hidden="1" customHeight="1" outlineLevel="1" x14ac:dyDescent="0.2">
      <c r="A51" s="69" t="s">
        <v>27</v>
      </c>
      <c r="B51" s="67"/>
      <c r="C51" s="412">
        <v>124.17797791696361</v>
      </c>
      <c r="D51" s="415">
        <v>172.13348385086505</v>
      </c>
      <c r="E51" s="415">
        <v>139.89086816352227</v>
      </c>
      <c r="F51" s="415">
        <v>90.488236481751983</v>
      </c>
      <c r="G51" s="415">
        <v>115.97226183394585</v>
      </c>
      <c r="H51" s="415">
        <v>52.795060921076676</v>
      </c>
      <c r="I51" s="415">
        <v>76.97669786895041</v>
      </c>
      <c r="J51" s="414">
        <v>19.664758789860993</v>
      </c>
    </row>
    <row r="52" spans="1:30" ht="11.1" hidden="1" customHeight="1" outlineLevel="1" x14ac:dyDescent="0.2">
      <c r="A52" s="69" t="s">
        <v>28</v>
      </c>
      <c r="B52" s="67"/>
      <c r="C52" s="412">
        <v>108.83644080465503</v>
      </c>
      <c r="D52" s="415">
        <v>141.56480341627122</v>
      </c>
      <c r="E52" s="415">
        <v>154.82405906030027</v>
      </c>
      <c r="F52" s="415">
        <v>108.02722057932803</v>
      </c>
      <c r="G52" s="415">
        <v>87.624573211972063</v>
      </c>
      <c r="H52" s="415">
        <v>62.09430024906959</v>
      </c>
      <c r="I52" s="415">
        <v>46.444931288587938</v>
      </c>
      <c r="J52" s="414">
        <v>79.190515126737537</v>
      </c>
    </row>
    <row r="53" spans="1:30" ht="11.1" hidden="1" customHeight="1" outlineLevel="1" x14ac:dyDescent="0.2">
      <c r="A53" s="69" t="s">
        <v>29</v>
      </c>
      <c r="B53" s="67"/>
      <c r="C53" s="412">
        <v>107.80091493296247</v>
      </c>
      <c r="D53" s="415">
        <v>140.82719940337847</v>
      </c>
      <c r="E53" s="415">
        <v>127.00565040727952</v>
      </c>
      <c r="F53" s="415">
        <v>58.137076756808106</v>
      </c>
      <c r="G53" s="415">
        <v>74.834377724720696</v>
      </c>
      <c r="H53" s="415">
        <v>49.631203900487563</v>
      </c>
      <c r="I53" s="415">
        <v>203.08703445528781</v>
      </c>
      <c r="J53" s="414">
        <v>101.10384300899426</v>
      </c>
    </row>
    <row r="54" spans="1:30" ht="11.1" hidden="1" customHeight="1" outlineLevel="1" x14ac:dyDescent="0.2">
      <c r="A54" s="69" t="s">
        <v>30</v>
      </c>
      <c r="B54" s="67"/>
      <c r="C54" s="412">
        <v>156.12907005347674</v>
      </c>
      <c r="D54" s="415">
        <v>203.08016080176125</v>
      </c>
      <c r="E54" s="415">
        <v>161.92411438164095</v>
      </c>
      <c r="F54" s="415">
        <v>96.03686417025925</v>
      </c>
      <c r="G54" s="415">
        <v>110.38877435441945</v>
      </c>
      <c r="H54" s="415">
        <v>95.098425764759071</v>
      </c>
      <c r="I54" s="415">
        <v>278.30113523202556</v>
      </c>
      <c r="J54" s="414">
        <v>52.49386753883892</v>
      </c>
      <c r="AD54" s="68"/>
    </row>
    <row r="55" spans="1:30" ht="15" hidden="1" customHeight="1" outlineLevel="1" collapsed="1" x14ac:dyDescent="0.2">
      <c r="A55" s="61" t="s">
        <v>34</v>
      </c>
      <c r="B55" s="62"/>
      <c r="C55" s="416"/>
      <c r="D55" s="413"/>
      <c r="E55" s="413"/>
      <c r="F55" s="413"/>
      <c r="G55" s="413"/>
      <c r="H55" s="413"/>
      <c r="I55" s="413"/>
      <c r="J55" s="417"/>
    </row>
    <row r="56" spans="1:30" ht="12.75" hidden="1" customHeight="1" outlineLevel="1" x14ac:dyDescent="0.2">
      <c r="A56" s="69" t="s">
        <v>27</v>
      </c>
      <c r="B56" s="67"/>
      <c r="C56" s="412">
        <v>102.80262284701021</v>
      </c>
      <c r="D56" s="405">
        <v>169.71430614652985</v>
      </c>
      <c r="E56" s="405">
        <v>136.22143797333129</v>
      </c>
      <c r="F56" s="405">
        <v>26.032944976900506</v>
      </c>
      <c r="G56" s="405">
        <v>51.985430128993883</v>
      </c>
      <c r="H56" s="405">
        <v>106.6383297912239</v>
      </c>
      <c r="I56" s="405">
        <v>79.008165704043037</v>
      </c>
      <c r="J56" s="406">
        <v>68.80621422730988</v>
      </c>
    </row>
    <row r="57" spans="1:30" ht="12.75" hidden="1" customHeight="1" outlineLevel="1" x14ac:dyDescent="0.2">
      <c r="A57" s="69" t="s">
        <v>28</v>
      </c>
      <c r="B57" s="67"/>
      <c r="C57" s="412">
        <v>111.10989610644361</v>
      </c>
      <c r="D57" s="405">
        <v>140.78633491512954</v>
      </c>
      <c r="E57" s="405">
        <v>121.07636252646839</v>
      </c>
      <c r="F57" s="405">
        <v>22.156506454792694</v>
      </c>
      <c r="G57" s="405">
        <v>118.9286092618095</v>
      </c>
      <c r="H57" s="405">
        <v>145.58550588054274</v>
      </c>
      <c r="I57" s="405">
        <v>57.159928301135245</v>
      </c>
      <c r="J57" s="406">
        <v>237.44889615699103</v>
      </c>
    </row>
    <row r="58" spans="1:30" ht="12.75" hidden="1" customHeight="1" outlineLevel="1" x14ac:dyDescent="0.2">
      <c r="A58" s="69" t="s">
        <v>29</v>
      </c>
      <c r="B58" s="67"/>
      <c r="C58" s="412">
        <v>91.324355338743587</v>
      </c>
      <c r="D58" s="405">
        <v>149.470038668022</v>
      </c>
      <c r="E58" s="405">
        <v>131.60283092653705</v>
      </c>
      <c r="F58" s="405">
        <v>20.018764622747945</v>
      </c>
      <c r="G58" s="405">
        <v>59.909223510621821</v>
      </c>
      <c r="H58" s="405">
        <v>30.705761297085203</v>
      </c>
      <c r="I58" s="405">
        <v>104.00318661621193</v>
      </c>
      <c r="J58" s="406">
        <v>51.308258381030257</v>
      </c>
    </row>
    <row r="59" spans="1:30" ht="12.75" hidden="1" customHeight="1" outlineLevel="1" x14ac:dyDescent="0.2">
      <c r="A59" s="69" t="s">
        <v>30</v>
      </c>
      <c r="B59" s="67"/>
      <c r="C59" s="412">
        <v>94.255230791553984</v>
      </c>
      <c r="D59" s="405">
        <v>139.59104863384908</v>
      </c>
      <c r="E59" s="405">
        <v>185.615993590355</v>
      </c>
      <c r="F59" s="405">
        <v>24.522274082255553</v>
      </c>
      <c r="G59" s="405">
        <v>55.714274073289381</v>
      </c>
      <c r="H59" s="405">
        <v>45.149874503543714</v>
      </c>
      <c r="I59" s="405">
        <v>155.21808404700261</v>
      </c>
      <c r="J59" s="406">
        <v>25.183973834832379</v>
      </c>
    </row>
    <row r="60" spans="1:30" ht="15" hidden="1" customHeight="1" outlineLevel="1" collapsed="1" x14ac:dyDescent="0.2">
      <c r="A60" s="61" t="s">
        <v>49</v>
      </c>
      <c r="B60" s="62"/>
      <c r="C60" s="416"/>
      <c r="D60" s="413"/>
      <c r="E60" s="413"/>
      <c r="F60" s="413"/>
      <c r="G60" s="413"/>
      <c r="H60" s="413"/>
      <c r="I60" s="413"/>
      <c r="J60" s="417"/>
    </row>
    <row r="61" spans="1:30" ht="12.75" hidden="1" customHeight="1" outlineLevel="1" x14ac:dyDescent="0.2">
      <c r="A61" s="69" t="s">
        <v>27</v>
      </c>
      <c r="B61" s="62"/>
      <c r="C61" s="404">
        <v>87.815427600349565</v>
      </c>
      <c r="D61" s="413">
        <v>110.49757622504073</v>
      </c>
      <c r="E61" s="413">
        <v>436.93634230556466</v>
      </c>
      <c r="F61" s="413">
        <v>50.146672842365284</v>
      </c>
      <c r="G61" s="413">
        <v>17.438212501731599</v>
      </c>
      <c r="H61" s="413">
        <v>140.85414522969214</v>
      </c>
      <c r="I61" s="413">
        <v>37.303326030671187</v>
      </c>
      <c r="J61" s="417">
        <v>43.37694194603435</v>
      </c>
    </row>
    <row r="62" spans="1:30" ht="12.75" hidden="1" customHeight="1" outlineLevel="1" x14ac:dyDescent="0.2">
      <c r="A62" s="69" t="s">
        <v>28</v>
      </c>
      <c r="B62" s="62"/>
      <c r="C62" s="404">
        <v>60.463431989092854</v>
      </c>
      <c r="D62" s="413">
        <v>77.411643314314318</v>
      </c>
      <c r="E62" s="413">
        <v>201.26285267354683</v>
      </c>
      <c r="F62" s="413">
        <v>10.34667046709659</v>
      </c>
      <c r="G62" s="413">
        <v>41.30737701578402</v>
      </c>
      <c r="H62" s="413">
        <v>52.516179907103769</v>
      </c>
      <c r="I62" s="413">
        <v>65.46106353316074</v>
      </c>
      <c r="J62" s="417">
        <v>91.864268192968098</v>
      </c>
    </row>
    <row r="63" spans="1:30" ht="12.75" hidden="1" customHeight="1" outlineLevel="1" collapsed="1" x14ac:dyDescent="0.2">
      <c r="A63" s="69" t="s">
        <v>29</v>
      </c>
      <c r="B63" s="70"/>
      <c r="C63" s="404">
        <v>81.471792839536846</v>
      </c>
      <c r="D63" s="418">
        <v>111.39659496651666</v>
      </c>
      <c r="E63" s="418">
        <v>422.30359893935639</v>
      </c>
      <c r="F63" s="418">
        <v>2.9595848030308427</v>
      </c>
      <c r="G63" s="418">
        <v>23.432394331766066</v>
      </c>
      <c r="H63" s="418">
        <v>21.103599488397585</v>
      </c>
      <c r="I63" s="418">
        <v>168.46245767775346</v>
      </c>
      <c r="J63" s="419">
        <v>24.979558462796405</v>
      </c>
    </row>
    <row r="64" spans="1:30" ht="12.75" hidden="1" customHeight="1" outlineLevel="1" x14ac:dyDescent="0.2">
      <c r="A64" s="71" t="s">
        <v>30</v>
      </c>
      <c r="B64" s="70"/>
      <c r="C64" s="404">
        <v>145.08225990308375</v>
      </c>
      <c r="D64" s="418">
        <v>123.63142274823898</v>
      </c>
      <c r="E64" s="418">
        <v>603.38500677209527</v>
      </c>
      <c r="F64" s="418">
        <v>14.24211113882258</v>
      </c>
      <c r="G64" s="418">
        <v>208.42086392490162</v>
      </c>
      <c r="H64" s="418">
        <v>76.773058170732881</v>
      </c>
      <c r="I64" s="418">
        <v>179.38657637920733</v>
      </c>
      <c r="J64" s="419">
        <v>32.297628781684381</v>
      </c>
    </row>
    <row r="65" spans="1:10" ht="15" customHeight="1" collapsed="1" x14ac:dyDescent="0.2">
      <c r="A65" s="72">
        <v>1993</v>
      </c>
      <c r="B65" s="70"/>
      <c r="C65" s="420"/>
      <c r="D65" s="418"/>
      <c r="E65" s="418"/>
      <c r="F65" s="418"/>
      <c r="G65" s="418"/>
      <c r="H65" s="418"/>
      <c r="I65" s="418"/>
      <c r="J65" s="419"/>
    </row>
    <row r="66" spans="1:10" ht="12.75" customHeight="1" x14ac:dyDescent="0.2">
      <c r="A66" s="69" t="s">
        <v>27</v>
      </c>
      <c r="B66" s="70"/>
      <c r="C66" s="404">
        <v>75.155311344641049</v>
      </c>
      <c r="D66" s="418">
        <v>110.62834258743723</v>
      </c>
      <c r="E66" s="418">
        <v>240.45642166307402</v>
      </c>
      <c r="F66" s="418">
        <v>14.071091792258997</v>
      </c>
      <c r="G66" s="418">
        <v>68.262655334544775</v>
      </c>
      <c r="H66" s="418">
        <v>11.722619173550539</v>
      </c>
      <c r="I66" s="418">
        <v>44.771957777335196</v>
      </c>
      <c r="J66" s="419">
        <v>2.9026982829108747</v>
      </c>
    </row>
    <row r="67" spans="1:10" ht="12.75" customHeight="1" x14ac:dyDescent="0.2">
      <c r="A67" s="69" t="s">
        <v>28</v>
      </c>
      <c r="B67" s="70"/>
      <c r="C67" s="404">
        <v>88.747703164829133</v>
      </c>
      <c r="D67" s="418">
        <v>120.49303005072305</v>
      </c>
      <c r="E67" s="418">
        <v>228.76381908013963</v>
      </c>
      <c r="F67" s="418">
        <v>9.9856296243512528</v>
      </c>
      <c r="G67" s="418">
        <v>83.834193564158767</v>
      </c>
      <c r="H67" s="418">
        <v>30.263398309404053</v>
      </c>
      <c r="I67" s="418">
        <v>116.85919139613623</v>
      </c>
      <c r="J67" s="419">
        <v>13.654946852003269</v>
      </c>
    </row>
    <row r="68" spans="1:10" ht="12.75" customHeight="1" x14ac:dyDescent="0.2">
      <c r="A68" s="69" t="s">
        <v>29</v>
      </c>
      <c r="B68" s="70"/>
      <c r="C68" s="404">
        <v>48.111490148789876</v>
      </c>
      <c r="D68" s="418">
        <v>78.784690119477546</v>
      </c>
      <c r="E68" s="418">
        <v>91.588149787298974</v>
      </c>
      <c r="F68" s="418">
        <v>3.9429460457714276</v>
      </c>
      <c r="G68" s="418">
        <v>15.286956380022652</v>
      </c>
      <c r="H68" s="418">
        <v>13.463221364208986</v>
      </c>
      <c r="I68" s="418">
        <v>112.54730133439554</v>
      </c>
      <c r="J68" s="419">
        <v>11.896974652493867</v>
      </c>
    </row>
    <row r="69" spans="1:10" ht="12.75" customHeight="1" x14ac:dyDescent="0.2">
      <c r="A69" s="71" t="s">
        <v>30</v>
      </c>
      <c r="B69" s="70"/>
      <c r="C69" s="421">
        <v>72.574255184286955</v>
      </c>
      <c r="D69" s="422">
        <v>77.497458739637025</v>
      </c>
      <c r="E69" s="422">
        <v>93.634291600694397</v>
      </c>
      <c r="F69" s="422">
        <v>19.842994738779822</v>
      </c>
      <c r="G69" s="422">
        <v>68.7521899624345</v>
      </c>
      <c r="H69" s="422">
        <v>86.683912412128421</v>
      </c>
      <c r="I69" s="422">
        <v>161.96972714598687</v>
      </c>
      <c r="J69" s="419">
        <v>1.7988552739165984</v>
      </c>
    </row>
    <row r="70" spans="1:10" ht="15" customHeight="1" x14ac:dyDescent="0.2">
      <c r="A70" s="72">
        <v>1994</v>
      </c>
      <c r="B70" s="70"/>
      <c r="C70" s="404"/>
      <c r="D70" s="418"/>
      <c r="E70" s="418"/>
      <c r="F70" s="418"/>
      <c r="G70" s="418"/>
      <c r="H70" s="418"/>
      <c r="I70" s="418"/>
      <c r="J70" s="419"/>
    </row>
    <row r="71" spans="1:10" ht="12.75" customHeight="1" x14ac:dyDescent="0.2">
      <c r="A71" s="69" t="s">
        <v>27</v>
      </c>
      <c r="B71" s="70"/>
      <c r="C71" s="404">
        <v>64.336800843981138</v>
      </c>
      <c r="D71" s="418">
        <v>58.916375932859644</v>
      </c>
      <c r="E71" s="418">
        <v>96.657446443219328</v>
      </c>
      <c r="F71" s="418">
        <v>57.814040213299123</v>
      </c>
      <c r="G71" s="418">
        <v>79.46283786536722</v>
      </c>
      <c r="H71" s="418">
        <v>26.310981180339848</v>
      </c>
      <c r="I71" s="418">
        <v>87.621987651862185</v>
      </c>
      <c r="J71" s="419">
        <v>33.115290269828293</v>
      </c>
    </row>
    <row r="72" spans="1:10" ht="12.75" customHeight="1" x14ac:dyDescent="0.2">
      <c r="A72" s="69" t="s">
        <v>28</v>
      </c>
      <c r="B72" s="70"/>
      <c r="C72" s="404">
        <v>85.828130657152428</v>
      </c>
      <c r="D72" s="418">
        <v>108.9079476321583</v>
      </c>
      <c r="E72" s="418">
        <v>189.30428645008681</v>
      </c>
      <c r="F72" s="418">
        <v>35.852305792092729</v>
      </c>
      <c r="G72" s="418">
        <v>51.356350687342619</v>
      </c>
      <c r="H72" s="418">
        <v>111.1869752949888</v>
      </c>
      <c r="I72" s="418">
        <v>97.619996016729743</v>
      </c>
      <c r="J72" s="419">
        <v>99.264104660670483</v>
      </c>
    </row>
    <row r="73" spans="1:10" ht="12.75" customHeight="1" x14ac:dyDescent="0.2">
      <c r="A73" s="41" t="s">
        <v>29</v>
      </c>
      <c r="B73" s="70"/>
      <c r="C73" s="404">
        <v>95.115876082398799</v>
      </c>
      <c r="D73" s="418">
        <v>158.47657187808079</v>
      </c>
      <c r="E73" s="418">
        <v>202.65466129986075</v>
      </c>
      <c r="F73" s="418">
        <v>19.040153917411903</v>
      </c>
      <c r="G73" s="418">
        <v>24.47868708186996</v>
      </c>
      <c r="H73" s="418">
        <v>29.792185561656748</v>
      </c>
      <c r="I73" s="418">
        <v>189.14558852818166</v>
      </c>
      <c r="J73" s="419">
        <v>19.623875715453799</v>
      </c>
    </row>
    <row r="74" spans="1:10" ht="12.75" customHeight="1" x14ac:dyDescent="0.2">
      <c r="A74" s="71" t="s">
        <v>30</v>
      </c>
      <c r="B74" s="70"/>
      <c r="C74" s="421">
        <v>119.51296885970666</v>
      </c>
      <c r="D74" s="422">
        <v>156.60906476510581</v>
      </c>
      <c r="E74" s="422">
        <v>154.76545659182389</v>
      </c>
      <c r="F74" s="422">
        <v>36.365363831783462</v>
      </c>
      <c r="G74" s="422">
        <v>106.47414010870362</v>
      </c>
      <c r="H74" s="422">
        <v>78.827161087443613</v>
      </c>
      <c r="I74" s="422">
        <v>203.67456681935874</v>
      </c>
      <c r="J74" s="419">
        <v>5.110384300899427</v>
      </c>
    </row>
    <row r="75" spans="1:10" ht="15" customHeight="1" x14ac:dyDescent="0.2">
      <c r="A75" s="72">
        <v>1995</v>
      </c>
      <c r="B75" s="70"/>
      <c r="C75" s="404"/>
      <c r="D75" s="418"/>
      <c r="E75" s="418"/>
      <c r="F75" s="418"/>
      <c r="G75" s="418"/>
      <c r="H75" s="418"/>
      <c r="I75" s="418"/>
      <c r="J75" s="419"/>
    </row>
    <row r="76" spans="1:10" ht="12.75" customHeight="1" x14ac:dyDescent="0.2">
      <c r="A76" s="300" t="s">
        <v>27</v>
      </c>
      <c r="B76" s="70"/>
      <c r="C76" s="421">
        <v>67.321621642831488</v>
      </c>
      <c r="D76" s="422">
        <v>70.348216520490993</v>
      </c>
      <c r="E76" s="422">
        <v>102.71913927624428</v>
      </c>
      <c r="F76" s="422">
        <v>62.787852875856565</v>
      </c>
      <c r="G76" s="422">
        <v>67.833016892249773</v>
      </c>
      <c r="H76" s="422">
        <v>35.013992133632087</v>
      </c>
      <c r="I76" s="422">
        <v>85.700059749053992</v>
      </c>
      <c r="J76" s="419">
        <v>22.240392477514309</v>
      </c>
    </row>
    <row r="77" spans="1:10" ht="12.75" customHeight="1" x14ac:dyDescent="0.2">
      <c r="A77" s="300" t="s">
        <v>28</v>
      </c>
      <c r="B77" s="70"/>
      <c r="C77" s="421">
        <v>58.269499568104578</v>
      </c>
      <c r="D77" s="422">
        <v>62.120151811573841</v>
      </c>
      <c r="E77" s="422">
        <v>139.25411571698368</v>
      </c>
      <c r="F77" s="422">
        <v>32.750204866925564</v>
      </c>
      <c r="G77" s="422">
        <v>65.212395798531603</v>
      </c>
      <c r="H77" s="422">
        <v>20.00250031253907</v>
      </c>
      <c r="I77" s="422">
        <v>64.748058155745866</v>
      </c>
      <c r="J77" s="419">
        <v>69.051512673753066</v>
      </c>
    </row>
    <row r="78" spans="1:10" ht="12.75" customHeight="1" x14ac:dyDescent="0.2">
      <c r="A78" s="300" t="s">
        <v>29</v>
      </c>
      <c r="B78" s="70"/>
      <c r="C78" s="421">
        <v>76.74788569541812</v>
      </c>
      <c r="D78" s="422">
        <v>110.19681359152878</v>
      </c>
      <c r="E78" s="422">
        <v>167.85212033345414</v>
      </c>
      <c r="F78" s="422">
        <v>36.723554352086076</v>
      </c>
      <c r="G78" s="422">
        <v>27.414825740105442</v>
      </c>
      <c r="H78" s="422">
        <v>25.83899910565744</v>
      </c>
      <c r="I78" s="422">
        <v>162.34212308305121</v>
      </c>
      <c r="J78" s="419">
        <v>32.330335241210136</v>
      </c>
    </row>
    <row r="79" spans="1:10" ht="12.75" customHeight="1" x14ac:dyDescent="0.2">
      <c r="A79" s="300" t="s">
        <v>30</v>
      </c>
      <c r="B79" s="70"/>
      <c r="C79" s="421">
        <v>121.33424435000492</v>
      </c>
      <c r="D79" s="422">
        <v>155.37005348139903</v>
      </c>
      <c r="E79" s="422">
        <v>199.43152553366019</v>
      </c>
      <c r="F79" s="422">
        <v>43.296397905013002</v>
      </c>
      <c r="G79" s="422">
        <v>131.55126752988534</v>
      </c>
      <c r="H79" s="422">
        <v>87.207054727994844</v>
      </c>
      <c r="I79" s="422">
        <v>108.75522804222268</v>
      </c>
      <c r="J79" s="419">
        <v>6.1324611610793136</v>
      </c>
    </row>
    <row r="80" spans="1:10" ht="15" customHeight="1" x14ac:dyDescent="0.2">
      <c r="A80" s="72">
        <v>1996</v>
      </c>
      <c r="B80" s="70"/>
      <c r="C80" s="421"/>
      <c r="D80" s="422"/>
      <c r="E80" s="422"/>
      <c r="F80" s="422"/>
      <c r="G80" s="422"/>
      <c r="H80" s="422"/>
      <c r="I80" s="422"/>
      <c r="J80" s="419"/>
    </row>
    <row r="81" spans="1:10" ht="12.75" customHeight="1" x14ac:dyDescent="0.2">
      <c r="A81" s="300" t="s">
        <v>27</v>
      </c>
      <c r="B81" s="70"/>
      <c r="C81" s="400">
        <v>74.463489409366602</v>
      </c>
      <c r="D81" s="400">
        <v>70.378864886677661</v>
      </c>
      <c r="E81" s="400">
        <v>96.298506323801547</v>
      </c>
      <c r="F81" s="400">
        <v>79.210460683364801</v>
      </c>
      <c r="G81" s="400">
        <v>78.586038021822205</v>
      </c>
      <c r="H81" s="400">
        <v>46.640445440295423</v>
      </c>
      <c r="I81" s="400">
        <v>102.81816371240791</v>
      </c>
      <c r="J81" s="401">
        <v>16.762060506950121</v>
      </c>
    </row>
    <row r="82" spans="1:10" s="279" customFormat="1" ht="12.75" customHeight="1" x14ac:dyDescent="0.2">
      <c r="A82" s="300" t="s">
        <v>28</v>
      </c>
      <c r="B82" s="70"/>
      <c r="C82" s="402">
        <v>59.960717169530575</v>
      </c>
      <c r="D82" s="402">
        <v>79.855339711598873</v>
      </c>
      <c r="E82" s="402">
        <v>175.11150111596498</v>
      </c>
      <c r="F82" s="402">
        <v>31.990118882198548</v>
      </c>
      <c r="G82" s="402">
        <v>35.893382442816517</v>
      </c>
      <c r="H82" s="402">
        <v>43.47658841970631</v>
      </c>
      <c r="I82" s="402">
        <v>53.067118103963359</v>
      </c>
      <c r="J82" s="403">
        <v>45.789043336058867</v>
      </c>
    </row>
    <row r="83" spans="1:10" s="279" customFormat="1" ht="12.75" customHeight="1" x14ac:dyDescent="0.2">
      <c r="A83" s="300" t="s">
        <v>29</v>
      </c>
      <c r="B83" s="70"/>
      <c r="C83" s="402">
        <v>98.21695840288703</v>
      </c>
      <c r="D83" s="402">
        <v>124.66325107652385</v>
      </c>
      <c r="E83" s="402">
        <v>294.31258465118947</v>
      </c>
      <c r="F83" s="402">
        <v>58.602629422453411</v>
      </c>
      <c r="G83" s="402">
        <v>45.756565812954797</v>
      </c>
      <c r="H83" s="402">
        <v>40.918576360506606</v>
      </c>
      <c r="I83" s="402">
        <v>186.18801035650273</v>
      </c>
      <c r="J83" s="403">
        <v>12.632869991823384</v>
      </c>
    </row>
    <row r="84" spans="1:10" s="279" customFormat="1" ht="15" customHeight="1" x14ac:dyDescent="0.2">
      <c r="A84" s="300" t="s">
        <v>30</v>
      </c>
      <c r="B84" s="70"/>
      <c r="C84" s="402">
        <v>141.20736879733883</v>
      </c>
      <c r="D84" s="402">
        <v>134.23575744883001</v>
      </c>
      <c r="E84" s="402">
        <v>224.75877987829307</v>
      </c>
      <c r="F84" s="402">
        <v>62.916117385779259</v>
      </c>
      <c r="G84" s="402">
        <v>189.19645694635713</v>
      </c>
      <c r="H84" s="402">
        <v>45.948051198707532</v>
      </c>
      <c r="I84" s="402">
        <v>278.25134435371444</v>
      </c>
      <c r="J84" s="403">
        <v>8.3810302534750605</v>
      </c>
    </row>
    <row r="85" spans="1:10" s="279" customFormat="1" ht="15" customHeight="1" x14ac:dyDescent="0.2">
      <c r="A85" s="72">
        <v>1997</v>
      </c>
      <c r="B85" s="70"/>
      <c r="C85" s="402"/>
      <c r="D85" s="402"/>
      <c r="E85" s="402"/>
      <c r="F85" s="402"/>
      <c r="G85" s="402"/>
      <c r="H85" s="402"/>
      <c r="I85" s="402"/>
      <c r="J85" s="403"/>
    </row>
    <row r="86" spans="1:10" s="279" customFormat="1" ht="12.9" customHeight="1" x14ac:dyDescent="0.2">
      <c r="A86" s="300" t="s">
        <v>27</v>
      </c>
      <c r="B86" s="70"/>
      <c r="C86" s="402">
        <v>89.212891090437154</v>
      </c>
      <c r="D86" s="402">
        <v>79.800172652462848</v>
      </c>
      <c r="E86" s="402">
        <v>308.28561072852489</v>
      </c>
      <c r="F86" s="402">
        <v>103.04390684196147</v>
      </c>
      <c r="G86" s="402">
        <v>73.569699883473632</v>
      </c>
      <c r="H86" s="402">
        <v>56.112783328685325</v>
      </c>
      <c r="I86" s="402">
        <v>74.815773750248965</v>
      </c>
      <c r="J86" s="403">
        <v>65.494685200327069</v>
      </c>
    </row>
    <row r="87" spans="1:10" s="279" customFormat="1" ht="12.9" customHeight="1" x14ac:dyDescent="0.2">
      <c r="A87" s="300" t="s">
        <v>28</v>
      </c>
      <c r="B87" s="70"/>
      <c r="C87" s="402">
        <v>87.820078061215099</v>
      </c>
      <c r="D87" s="402">
        <v>122.60981054201636</v>
      </c>
      <c r="E87" s="402">
        <v>346.230709066977</v>
      </c>
      <c r="F87" s="402">
        <v>25.762164344841505</v>
      </c>
      <c r="G87" s="402">
        <v>33.676936741661841</v>
      </c>
      <c r="H87" s="402">
        <v>40.649311933222428</v>
      </c>
      <c r="I87" s="402">
        <v>106.08444532961563</v>
      </c>
      <c r="J87" s="403">
        <v>153.55682747342601</v>
      </c>
    </row>
    <row r="88" spans="1:10" s="279" customFormat="1" ht="12.9" customHeight="1" x14ac:dyDescent="0.2">
      <c r="A88" s="300" t="s">
        <v>29</v>
      </c>
      <c r="B88" s="70"/>
      <c r="C88" s="402">
        <v>62.437087580417838</v>
      </c>
      <c r="D88" s="402">
        <v>105.29348364654261</v>
      </c>
      <c r="E88" s="402">
        <v>38.567749566013617</v>
      </c>
      <c r="F88" s="402">
        <v>5.2873481312573478</v>
      </c>
      <c r="G88" s="402">
        <v>14.188511966362178</v>
      </c>
      <c r="H88" s="402">
        <v>19.925567619029302</v>
      </c>
      <c r="I88" s="402">
        <v>192.21270663214503</v>
      </c>
      <c r="J88" s="403">
        <v>3.1479967293540474</v>
      </c>
    </row>
    <row r="89" spans="1:10" s="279" customFormat="1" x14ac:dyDescent="0.2">
      <c r="A89" s="300" t="s">
        <v>30</v>
      </c>
      <c r="B89" s="70"/>
      <c r="C89" s="402">
        <v>203.87155388335597</v>
      </c>
      <c r="D89" s="402">
        <v>279.42524097277914</v>
      </c>
      <c r="E89" s="402">
        <v>585.2555273649873</v>
      </c>
      <c r="F89" s="402">
        <v>75.585800643697823</v>
      </c>
      <c r="G89" s="402">
        <v>116.90447282001972</v>
      </c>
      <c r="H89" s="402">
        <v>48.486830084529799</v>
      </c>
      <c r="I89" s="402">
        <v>328.4206333399722</v>
      </c>
      <c r="J89" s="403">
        <v>184.79149632052332</v>
      </c>
    </row>
    <row r="90" spans="1:10" s="279" customFormat="1" ht="15" customHeight="1" x14ac:dyDescent="0.2">
      <c r="A90" s="72">
        <v>1998</v>
      </c>
      <c r="B90" s="70"/>
      <c r="C90" s="402"/>
      <c r="D90" s="402"/>
      <c r="E90" s="402"/>
      <c r="F90" s="402"/>
      <c r="G90" s="402"/>
      <c r="H90" s="402"/>
      <c r="I90" s="402"/>
      <c r="J90" s="403"/>
    </row>
    <row r="91" spans="1:10" s="279" customFormat="1" x14ac:dyDescent="0.2">
      <c r="A91" s="300" t="s">
        <v>27</v>
      </c>
      <c r="B91" s="70"/>
      <c r="C91" s="402">
        <v>76.568287997099148</v>
      </c>
      <c r="D91" s="402">
        <v>105.02990769733715</v>
      </c>
      <c r="E91" s="402">
        <v>300.24608458442231</v>
      </c>
      <c r="F91" s="402">
        <v>49.149059987411064</v>
      </c>
      <c r="G91" s="402">
        <v>31.036758774109956</v>
      </c>
      <c r="H91" s="402">
        <v>21.762335676574956</v>
      </c>
      <c r="I91" s="402">
        <v>76.279625572595094</v>
      </c>
      <c r="J91" s="403">
        <v>48.977923139820113</v>
      </c>
    </row>
    <row r="92" spans="1:10" s="279" customFormat="1" x14ac:dyDescent="0.2">
      <c r="A92" s="300" t="s">
        <v>28</v>
      </c>
      <c r="B92" s="70"/>
      <c r="C92" s="402">
        <v>43.162477446475854</v>
      </c>
      <c r="D92" s="402">
        <v>44.848775853173898</v>
      </c>
      <c r="E92" s="402">
        <v>158.09847198641768</v>
      </c>
      <c r="F92" s="402">
        <v>19.515207657866291</v>
      </c>
      <c r="G92" s="402">
        <v>30.694513482019897</v>
      </c>
      <c r="H92" s="402">
        <v>23.426005173723638</v>
      </c>
      <c r="I92" s="402">
        <v>63.612826130252955</v>
      </c>
      <c r="J92" s="403">
        <v>112.67375306623057</v>
      </c>
    </row>
    <row r="93" spans="1:10" s="279" customFormat="1" x14ac:dyDescent="0.2">
      <c r="A93" s="300" t="s">
        <v>29</v>
      </c>
      <c r="B93" s="70"/>
      <c r="C93" s="402">
        <v>60.087054689710421</v>
      </c>
      <c r="D93" s="402">
        <v>87.946508384882179</v>
      </c>
      <c r="E93" s="402">
        <v>191.33705957536105</v>
      </c>
      <c r="F93" s="402">
        <v>13.049726250282061</v>
      </c>
      <c r="G93" s="402">
        <v>32.637162949502518</v>
      </c>
      <c r="H93" s="402">
        <v>15.434621635396734</v>
      </c>
      <c r="I93" s="402">
        <v>94.174467237602073</v>
      </c>
      <c r="J93" s="403">
        <v>8.6263286999182327</v>
      </c>
    </row>
    <row r="94" spans="1:10" s="279" customFormat="1" x14ac:dyDescent="0.2">
      <c r="A94" s="300" t="s">
        <v>30</v>
      </c>
      <c r="B94" s="70"/>
      <c r="C94" s="402">
        <v>69.808068052260722</v>
      </c>
      <c r="D94" s="402">
        <v>103.34016110824491</v>
      </c>
      <c r="E94" s="402">
        <v>133.705194483127</v>
      </c>
      <c r="F94" s="402">
        <v>22.099500005938172</v>
      </c>
      <c r="G94" s="402">
        <v>44.280021838509107</v>
      </c>
      <c r="H94" s="402">
        <v>48.16948272380202</v>
      </c>
      <c r="I94" s="402">
        <v>75.273849830711029</v>
      </c>
      <c r="J94" s="403">
        <v>56.541291905151269</v>
      </c>
    </row>
    <row r="95" spans="1:10" s="279" customFormat="1" ht="15" customHeight="1" x14ac:dyDescent="0.2">
      <c r="A95" s="72">
        <v>1999</v>
      </c>
      <c r="B95" s="70"/>
      <c r="C95" s="402"/>
      <c r="D95" s="402"/>
      <c r="E95" s="402"/>
      <c r="F95" s="402"/>
      <c r="G95" s="402"/>
      <c r="H95" s="402"/>
      <c r="I95" s="402"/>
      <c r="J95" s="403"/>
    </row>
    <row r="96" spans="1:10" s="279" customFormat="1" x14ac:dyDescent="0.2">
      <c r="A96" s="300" t="s">
        <v>27</v>
      </c>
      <c r="B96" s="70"/>
      <c r="C96" s="402">
        <v>81.397016529126603</v>
      </c>
      <c r="D96" s="402">
        <v>127.4624685215739</v>
      </c>
      <c r="E96" s="402">
        <v>261.11062360504383</v>
      </c>
      <c r="F96" s="402">
        <v>5.9096685312525965</v>
      </c>
      <c r="G96" s="402">
        <v>51.069516537781432</v>
      </c>
      <c r="H96" s="402">
        <v>24.705011203323497</v>
      </c>
      <c r="I96" s="402">
        <v>81.597291376219886</v>
      </c>
      <c r="J96" s="403">
        <v>28.699918233851186</v>
      </c>
    </row>
    <row r="97" spans="1:34" s="279" customFormat="1" ht="12.75" customHeight="1" x14ac:dyDescent="0.2">
      <c r="A97" s="300" t="s">
        <v>28</v>
      </c>
      <c r="B97" s="70"/>
      <c r="C97" s="402">
        <v>79.946847815896518</v>
      </c>
      <c r="D97" s="402">
        <v>145.11797066951354</v>
      </c>
      <c r="E97" s="402">
        <v>248.62097251101659</v>
      </c>
      <c r="F97" s="402">
        <v>9.4440683602332509</v>
      </c>
      <c r="G97" s="402">
        <v>25.883522518925346</v>
      </c>
      <c r="H97" s="402">
        <v>26.72449440795484</v>
      </c>
      <c r="I97" s="402">
        <v>56.48277235610437</v>
      </c>
      <c r="J97" s="403">
        <v>10.915780866721176</v>
      </c>
    </row>
    <row r="98" spans="1:34" s="279" customFormat="1" ht="12.75" customHeight="1" x14ac:dyDescent="0.2">
      <c r="A98" s="300" t="s">
        <v>29</v>
      </c>
      <c r="B98" s="70"/>
      <c r="C98" s="402">
        <v>115.40351160821236</v>
      </c>
      <c r="D98" s="402">
        <v>214.83687407097142</v>
      </c>
      <c r="E98" s="402">
        <v>309.49428664085008</v>
      </c>
      <c r="F98" s="402">
        <v>3.7196707877578645</v>
      </c>
      <c r="G98" s="402">
        <v>21.232246025472829</v>
      </c>
      <c r="H98" s="402">
        <v>31.388538951984383</v>
      </c>
      <c r="I98" s="402">
        <v>154.62059350726949</v>
      </c>
      <c r="J98" s="403">
        <v>31.030253475061325</v>
      </c>
    </row>
    <row r="99" spans="1:34" s="279" customFormat="1" x14ac:dyDescent="0.2">
      <c r="A99" s="300" t="s">
        <v>30</v>
      </c>
      <c r="B99" s="70"/>
      <c r="C99" s="402">
        <v>122.98841327986895</v>
      </c>
      <c r="D99" s="402">
        <v>201.27190719674721</v>
      </c>
      <c r="E99" s="402">
        <v>207.70912420594803</v>
      </c>
      <c r="F99" s="402">
        <v>16.797900262467188</v>
      </c>
      <c r="G99" s="402">
        <v>102.88545376021642</v>
      </c>
      <c r="H99" s="402">
        <v>32.773327435160162</v>
      </c>
      <c r="I99" s="402">
        <v>100.81657040430194</v>
      </c>
      <c r="J99" s="403">
        <v>8.0539656582174981</v>
      </c>
    </row>
    <row r="100" spans="1:34" s="279" customFormat="1" ht="15" customHeight="1" x14ac:dyDescent="0.2">
      <c r="A100" s="72">
        <v>2000</v>
      </c>
      <c r="B100" s="70"/>
      <c r="C100" s="402"/>
      <c r="D100" s="402"/>
      <c r="E100" s="402"/>
      <c r="F100" s="402"/>
      <c r="G100" s="402"/>
      <c r="H100" s="402"/>
      <c r="I100" s="402"/>
      <c r="J100" s="403"/>
    </row>
    <row r="101" spans="1:34" s="279" customFormat="1" x14ac:dyDescent="0.2">
      <c r="A101" s="300" t="s">
        <v>27</v>
      </c>
      <c r="B101" s="70"/>
      <c r="C101" s="402">
        <v>56.217096172790207</v>
      </c>
      <c r="D101" s="402">
        <v>72.889987689572905</v>
      </c>
      <c r="E101" s="402">
        <v>89.936475839835182</v>
      </c>
      <c r="F101" s="402">
        <v>34.631417679124951</v>
      </c>
      <c r="G101" s="402">
        <v>62.89816572820834</v>
      </c>
      <c r="H101" s="402">
        <v>4.4332464635002458</v>
      </c>
      <c r="I101" s="402">
        <v>42.421828321051592</v>
      </c>
      <c r="J101" s="403">
        <v>26.08340147179068</v>
      </c>
    </row>
    <row r="102" spans="1:34" s="279" customFormat="1" ht="15" customHeight="1" x14ac:dyDescent="0.2">
      <c r="A102" s="300" t="s">
        <v>28</v>
      </c>
      <c r="B102" s="70"/>
      <c r="C102" s="477">
        <v>37.830724064161757</v>
      </c>
      <c r="D102" s="477">
        <v>71.008178005710803</v>
      </c>
      <c r="E102" s="402">
        <v>104.89841857270943</v>
      </c>
      <c r="F102" s="402">
        <v>3.7861783114214784</v>
      </c>
      <c r="G102" s="402">
        <v>14.902337861292873</v>
      </c>
      <c r="H102" s="402">
        <v>2.9138257666823737</v>
      </c>
      <c r="I102" s="402">
        <v>21.081457876916954</v>
      </c>
      <c r="J102" s="403">
        <v>22.035977105478331</v>
      </c>
    </row>
    <row r="103" spans="1:34" s="279" customFormat="1" ht="15" customHeight="1" x14ac:dyDescent="0.2">
      <c r="A103" s="300" t="s">
        <v>29</v>
      </c>
      <c r="B103" s="70"/>
      <c r="C103" s="477">
        <v>99.287339478766668</v>
      </c>
      <c r="D103" s="477">
        <v>79.81038877452508</v>
      </c>
      <c r="E103" s="483">
        <v>1440.9614467484407</v>
      </c>
      <c r="F103" s="402">
        <v>2.79806653127635</v>
      </c>
      <c r="G103" s="402">
        <v>13.787596052770962</v>
      </c>
      <c r="H103" s="402">
        <v>1.2309230961562505</v>
      </c>
      <c r="I103" s="402">
        <v>53.694483170683135</v>
      </c>
      <c r="J103" s="443">
        <v>0.65412919051512675</v>
      </c>
    </row>
    <row r="104" spans="1:34" ht="15" customHeight="1" x14ac:dyDescent="0.2">
      <c r="A104" s="251" t="s">
        <v>50</v>
      </c>
      <c r="B104" s="74"/>
      <c r="C104" s="74"/>
      <c r="D104" s="74"/>
      <c r="E104" s="73"/>
      <c r="F104" s="73"/>
      <c r="G104" s="73"/>
      <c r="H104" s="73"/>
      <c r="I104" s="73"/>
      <c r="J104" s="73"/>
      <c r="K104" s="75"/>
    </row>
    <row r="105" spans="1:34" ht="13.5" customHeight="1" x14ac:dyDescent="0.2">
      <c r="A105" s="276" t="s">
        <v>35</v>
      </c>
      <c r="B105" s="77"/>
      <c r="C105" s="77"/>
      <c r="D105" s="76"/>
    </row>
    <row r="106" spans="1:34" ht="13.8" x14ac:dyDescent="0.2">
      <c r="A106" s="50"/>
      <c r="B106" s="76"/>
      <c r="C106" s="76"/>
      <c r="D106" s="76"/>
    </row>
    <row r="107" spans="1:34" s="279" customFormat="1" ht="12.75" customHeight="1" x14ac:dyDescent="0.2">
      <c r="B107" s="280"/>
      <c r="C107" s="322"/>
      <c r="D107" s="323"/>
      <c r="E107" s="322"/>
      <c r="F107" s="322"/>
      <c r="G107" s="322"/>
    </row>
    <row r="110" spans="1:34" x14ac:dyDescent="0.2">
      <c r="D110" s="78"/>
    </row>
    <row r="111" spans="1:34" x14ac:dyDescent="0.2">
      <c r="N111" s="78"/>
      <c r="X111" s="78"/>
      <c r="AH111" s="78"/>
    </row>
    <row r="113" spans="1:6" x14ac:dyDescent="0.2">
      <c r="D113" s="79" t="s">
        <v>56</v>
      </c>
      <c r="E113" s="79" t="s">
        <v>56</v>
      </c>
      <c r="F113" s="79" t="s">
        <v>56</v>
      </c>
    </row>
    <row r="114" spans="1:6" x14ac:dyDescent="0.2">
      <c r="A114" s="79" t="s">
        <v>56</v>
      </c>
      <c r="B114" s="79"/>
      <c r="C114" s="79"/>
    </row>
    <row r="116" spans="1:6" x14ac:dyDescent="0.2">
      <c r="A116" s="76" t="s">
        <v>57</v>
      </c>
      <c r="B116" s="76"/>
      <c r="C116" s="76"/>
    </row>
    <row r="117" spans="1:6" x14ac:dyDescent="0.2">
      <c r="A117" s="79" t="s">
        <v>56</v>
      </c>
      <c r="B117" s="79"/>
      <c r="C117" s="79"/>
    </row>
    <row r="118" spans="1:6" x14ac:dyDescent="0.2">
      <c r="A118" s="76" t="s">
        <v>58</v>
      </c>
      <c r="B118" s="76"/>
      <c r="C118" s="76"/>
    </row>
    <row r="119" spans="1:6" x14ac:dyDescent="0.2">
      <c r="A119" s="76" t="s">
        <v>59</v>
      </c>
      <c r="B119" s="76"/>
      <c r="C119" s="76"/>
    </row>
    <row r="120" spans="1:6" x14ac:dyDescent="0.2">
      <c r="A120" s="76" t="s">
        <v>60</v>
      </c>
      <c r="B120" s="76"/>
      <c r="C120" s="76"/>
    </row>
    <row r="121" spans="1:6" x14ac:dyDescent="0.2">
      <c r="A121" s="76" t="s">
        <v>61</v>
      </c>
      <c r="B121" s="76"/>
      <c r="C121" s="76"/>
    </row>
    <row r="122" spans="1:6" x14ac:dyDescent="0.2">
      <c r="A122" s="76" t="s">
        <v>62</v>
      </c>
      <c r="B122" s="76"/>
      <c r="C122" s="76"/>
    </row>
  </sheetData>
  <mergeCells count="1">
    <mergeCell ref="A21:B21"/>
  </mergeCells>
  <phoneticPr fontId="2" type="noConversion"/>
  <printOptions gridLinesSet="0"/>
  <pageMargins left="0.59055118110236204" right="1.9685039370078701" top="0.59055118110236204" bottom="2.4409448818897599" header="0.5" footer="0.5"/>
  <pageSetup paperSize="9" orientation="portrait" horizontalDpi="4294967292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93" transitionEvaluation="1" codeName="Sheet5"/>
  <dimension ref="A1:X109"/>
  <sheetViews>
    <sheetView showGridLines="0" showOutlineSymbols="0" workbookViewId="0">
      <pane xSplit="2" ySplit="9" topLeftCell="C93" activePane="bottomRight" state="frozen"/>
      <selection pane="topRight" activeCell="C1" sqref="C1"/>
      <selection pane="bottomLeft" activeCell="A10" sqref="A10"/>
      <selection pane="bottomRight" activeCell="J103" sqref="J103"/>
    </sheetView>
  </sheetViews>
  <sheetFormatPr defaultColWidth="14" defaultRowHeight="10.199999999999999" outlineLevelRow="1" x14ac:dyDescent="0.2"/>
  <cols>
    <col min="1" max="1" width="8" style="80" customWidth="1"/>
    <col min="2" max="2" width="5" style="80" customWidth="1"/>
    <col min="3" max="3" width="12" style="80" customWidth="1"/>
    <col min="4" max="4" width="11.33203125" style="80" customWidth="1"/>
    <col min="5" max="5" width="12" style="80" customWidth="1"/>
    <col min="6" max="6" width="12.33203125" style="80" customWidth="1"/>
    <col min="7" max="7" width="13" style="80" customWidth="1"/>
    <col min="8" max="8" width="12.33203125" style="80" customWidth="1"/>
    <col min="9" max="9" width="13" style="80" customWidth="1"/>
    <col min="10" max="10" width="14" style="80" customWidth="1"/>
    <col min="11" max="16384" width="14" style="80"/>
  </cols>
  <sheetData>
    <row r="1" spans="1:10" ht="20.100000000000001" customHeight="1" x14ac:dyDescent="0.2">
      <c r="A1"/>
      <c r="J1" s="290" t="s">
        <v>63</v>
      </c>
    </row>
    <row r="2" spans="1:10" ht="15" customHeight="1" x14ac:dyDescent="0.25">
      <c r="A2" s="81" t="s">
        <v>64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8" customHeight="1" x14ac:dyDescent="0.2">
      <c r="A3" s="82" t="s">
        <v>65</v>
      </c>
      <c r="B3" s="82"/>
      <c r="C3" s="83"/>
      <c r="D3" s="83"/>
      <c r="E3" s="83"/>
      <c r="F3" s="83"/>
      <c r="G3" s="83"/>
      <c r="H3" s="83"/>
      <c r="I3" s="83"/>
      <c r="J3" s="83"/>
    </row>
    <row r="4" spans="1:10" ht="15" customHeight="1" x14ac:dyDescent="0.2">
      <c r="A4" s="82"/>
      <c r="B4" s="82"/>
      <c r="C4" s="83"/>
      <c r="D4" s="83"/>
      <c r="E4" s="83"/>
      <c r="F4" s="83"/>
      <c r="G4" s="83"/>
      <c r="H4" s="83"/>
      <c r="I4" s="83"/>
      <c r="J4" s="83"/>
    </row>
    <row r="5" spans="1:10" ht="15" customHeight="1" x14ac:dyDescent="0.2">
      <c r="A5" s="84" t="s">
        <v>6</v>
      </c>
      <c r="B5" s="85"/>
      <c r="C5" s="86" t="s">
        <v>39</v>
      </c>
      <c r="D5" s="86" t="s">
        <v>40</v>
      </c>
      <c r="E5" s="86" t="s">
        <v>41</v>
      </c>
      <c r="F5" s="86" t="s">
        <v>42</v>
      </c>
      <c r="G5" s="86" t="s">
        <v>43</v>
      </c>
      <c r="H5" s="86" t="s">
        <v>44</v>
      </c>
      <c r="I5" s="86" t="s">
        <v>45</v>
      </c>
      <c r="J5" s="87" t="s">
        <v>46</v>
      </c>
    </row>
    <row r="6" spans="1:10" ht="15" customHeight="1" x14ac:dyDescent="0.2">
      <c r="A6" s="247"/>
      <c r="B6" s="239"/>
      <c r="C6" s="248"/>
      <c r="D6" s="249" t="s">
        <v>66</v>
      </c>
      <c r="E6" s="248"/>
      <c r="F6" s="248"/>
      <c r="G6" s="248"/>
      <c r="H6" s="249" t="s">
        <v>48</v>
      </c>
      <c r="I6" s="248"/>
      <c r="J6" s="250"/>
    </row>
    <row r="7" spans="1:10" ht="15" hidden="1" customHeight="1" outlineLevel="1" x14ac:dyDescent="0.2">
      <c r="A7" s="88" t="s">
        <v>15</v>
      </c>
      <c r="B7" s="89"/>
      <c r="C7" s="350">
        <v>52.742333572364231</v>
      </c>
      <c r="D7" s="350">
        <v>40.45373472837499</v>
      </c>
      <c r="E7" s="350">
        <v>86.692360140014998</v>
      </c>
      <c r="F7" s="350">
        <v>54.727528861366523</v>
      </c>
      <c r="G7" s="350">
        <v>46.566675821884559</v>
      </c>
      <c r="H7" s="350">
        <v>63.017446396193847</v>
      </c>
      <c r="I7" s="350">
        <v>77.048572050355119</v>
      </c>
      <c r="J7" s="351">
        <v>93.364057477474432</v>
      </c>
    </row>
    <row r="8" spans="1:10" ht="11.1" hidden="1" customHeight="1" outlineLevel="1" x14ac:dyDescent="0.2">
      <c r="A8" s="88" t="s">
        <v>16</v>
      </c>
      <c r="B8" s="90"/>
      <c r="C8" s="350">
        <v>88.621804525357845</v>
      </c>
      <c r="D8" s="350">
        <v>74.212181934718984</v>
      </c>
      <c r="E8" s="350">
        <v>75.078657276813317</v>
      </c>
      <c r="F8" s="350">
        <v>97.193250860594702</v>
      </c>
      <c r="G8" s="350">
        <v>90.444621640203167</v>
      </c>
      <c r="H8" s="350">
        <v>93.366915194886474</v>
      </c>
      <c r="I8" s="350">
        <v>98.328063171290836</v>
      </c>
      <c r="J8" s="351">
        <v>133.0132818233871</v>
      </c>
    </row>
    <row r="9" spans="1:10" s="91" customFormat="1" ht="15" hidden="1" customHeight="1" outlineLevel="1" x14ac:dyDescent="0.2">
      <c r="A9" s="88" t="s">
        <v>17</v>
      </c>
      <c r="B9" s="90"/>
      <c r="C9" s="350">
        <v>88.644042420272058</v>
      </c>
      <c r="D9" s="350">
        <v>79.22015495380343</v>
      </c>
      <c r="E9" s="350">
        <v>98.50207202137976</v>
      </c>
      <c r="F9" s="350">
        <v>77.159670174519164</v>
      </c>
      <c r="G9" s="350">
        <v>98.366974988165992</v>
      </c>
      <c r="H9" s="350">
        <v>97.853806281925259</v>
      </c>
      <c r="I9" s="350">
        <v>95.674064647592928</v>
      </c>
      <c r="J9" s="351">
        <v>85.571305146844509</v>
      </c>
    </row>
    <row r="10" spans="1:10" s="91" customFormat="1" ht="15" hidden="1" customHeight="1" outlineLevel="1" collapsed="1" x14ac:dyDescent="0.2">
      <c r="A10" s="88" t="s">
        <v>18</v>
      </c>
      <c r="B10" s="90"/>
      <c r="C10" s="420">
        <v>100</v>
      </c>
      <c r="D10" s="420">
        <v>100</v>
      </c>
      <c r="E10" s="420">
        <v>100</v>
      </c>
      <c r="F10" s="420">
        <v>100</v>
      </c>
      <c r="G10" s="420">
        <v>100</v>
      </c>
      <c r="H10" s="420">
        <v>100</v>
      </c>
      <c r="I10" s="420">
        <v>100</v>
      </c>
      <c r="J10" s="423">
        <v>100</v>
      </c>
    </row>
    <row r="11" spans="1:10" s="91" customFormat="1" ht="12.75" hidden="1" customHeight="1" outlineLevel="1" x14ac:dyDescent="0.2">
      <c r="A11" s="88" t="s">
        <v>19</v>
      </c>
      <c r="B11" s="90"/>
      <c r="C11" s="420">
        <v>104.3025260587348</v>
      </c>
      <c r="D11" s="420">
        <v>72.966556086984298</v>
      </c>
      <c r="E11" s="420">
        <v>102.75174350063989</v>
      </c>
      <c r="F11" s="420">
        <v>86.69244178995676</v>
      </c>
      <c r="G11" s="420">
        <v>117.83926037444748</v>
      </c>
      <c r="H11" s="420">
        <v>128.96032032677567</v>
      </c>
      <c r="I11" s="420">
        <v>132.0493261950086</v>
      </c>
      <c r="J11" s="423">
        <v>283.11330688132415</v>
      </c>
    </row>
    <row r="12" spans="1:10" s="91" customFormat="1" ht="12.75" hidden="1" customHeight="1" outlineLevel="1" x14ac:dyDescent="0.2">
      <c r="A12" s="88" t="s">
        <v>20</v>
      </c>
      <c r="B12" s="90"/>
      <c r="C12" s="420">
        <v>93.615553748419259</v>
      </c>
      <c r="D12" s="420">
        <v>69.448289117888933</v>
      </c>
      <c r="E12" s="420">
        <v>122.51825156535557</v>
      </c>
      <c r="F12" s="420">
        <v>84.431534723637867</v>
      </c>
      <c r="G12" s="420">
        <v>116.60332818669255</v>
      </c>
      <c r="H12" s="420">
        <v>112.53289951599051</v>
      </c>
      <c r="I12" s="420">
        <v>130.65626835445039</v>
      </c>
      <c r="J12" s="423">
        <v>270.46522221631591</v>
      </c>
    </row>
    <row r="13" spans="1:10" s="91" customFormat="1" ht="15" customHeight="1" collapsed="1" x14ac:dyDescent="0.2">
      <c r="A13" s="88" t="s">
        <v>21</v>
      </c>
      <c r="B13" s="90"/>
      <c r="C13" s="420">
        <v>137.45642379809414</v>
      </c>
      <c r="D13" s="420">
        <v>92.434803885408925</v>
      </c>
      <c r="E13" s="420">
        <v>100.17126164856312</v>
      </c>
      <c r="F13" s="420">
        <v>125.61777154015113</v>
      </c>
      <c r="G13" s="420">
        <v>195.22638068394852</v>
      </c>
      <c r="H13" s="420">
        <v>145.05597716364301</v>
      </c>
      <c r="I13" s="420">
        <v>171.58051421395837</v>
      </c>
      <c r="J13" s="423">
        <v>169.96029561104686</v>
      </c>
    </row>
    <row r="14" spans="1:10" s="91" customFormat="1" ht="12.75" customHeight="1" x14ac:dyDescent="0.2">
      <c r="A14" s="92" t="s">
        <v>22</v>
      </c>
      <c r="B14" s="93"/>
      <c r="C14" s="420">
        <v>128.11580090878877</v>
      </c>
      <c r="D14" s="420">
        <v>106.61940235368085</v>
      </c>
      <c r="E14" s="420">
        <v>111.71637583641389</v>
      </c>
      <c r="F14" s="420">
        <v>172.30478634640954</v>
      </c>
      <c r="G14" s="420">
        <v>240.66155601411182</v>
      </c>
      <c r="H14" s="420">
        <v>129.44879362872121</v>
      </c>
      <c r="I14" s="420">
        <v>136.37200431550932</v>
      </c>
      <c r="J14" s="423">
        <v>92.425920826915103</v>
      </c>
    </row>
    <row r="15" spans="1:10" s="91" customFormat="1" ht="12.75" customHeight="1" x14ac:dyDescent="0.2">
      <c r="A15" s="92" t="s">
        <v>23</v>
      </c>
      <c r="B15" s="93"/>
      <c r="C15" s="420">
        <v>116.56526504877232</v>
      </c>
      <c r="D15" s="420">
        <v>111.41709506993638</v>
      </c>
      <c r="E15" s="420">
        <v>108.82447099049966</v>
      </c>
      <c r="F15" s="420">
        <v>283.80031368988483</v>
      </c>
      <c r="G15" s="420">
        <v>151.32899484852715</v>
      </c>
      <c r="H15" s="420">
        <v>156.40105466275858</v>
      </c>
      <c r="I15" s="420">
        <v>115.10715463471666</v>
      </c>
      <c r="J15" s="423">
        <v>89.730931045985514</v>
      </c>
    </row>
    <row r="16" spans="1:10" s="94" customFormat="1" ht="12.75" customHeight="1" x14ac:dyDescent="0.2">
      <c r="A16" s="241" t="s">
        <v>24</v>
      </c>
      <c r="B16" s="93"/>
      <c r="C16" s="420">
        <v>129.97434774602254</v>
      </c>
      <c r="D16" s="420">
        <v>105.59692347865702</v>
      </c>
      <c r="E16" s="420">
        <v>192.56839528541926</v>
      </c>
      <c r="F16" s="420">
        <v>183.82793003278795</v>
      </c>
      <c r="G16" s="420">
        <v>145.59110720056864</v>
      </c>
      <c r="H16" s="420">
        <v>178.90471795361941</v>
      </c>
      <c r="I16" s="420">
        <v>138.31498685463603</v>
      </c>
      <c r="J16" s="423">
        <v>44.378294477533352</v>
      </c>
    </row>
    <row r="17" spans="1:20" s="364" customFormat="1" ht="12.75" customHeight="1" x14ac:dyDescent="0.2">
      <c r="A17" s="359" t="s">
        <v>25</v>
      </c>
      <c r="B17" s="363"/>
      <c r="C17" s="424">
        <v>130.7917358793118</v>
      </c>
      <c r="D17" s="424">
        <v>125.29037581409284</v>
      </c>
      <c r="E17" s="424">
        <v>163.11662106747906</v>
      </c>
      <c r="F17" s="424">
        <v>174.45254127396004</v>
      </c>
      <c r="G17" s="424">
        <v>150.71103987552533</v>
      </c>
      <c r="H17" s="424">
        <v>166.15023059501871</v>
      </c>
      <c r="I17" s="424">
        <v>115.09561700606179</v>
      </c>
      <c r="J17" s="425">
        <v>17.93996185851373</v>
      </c>
    </row>
    <row r="18" spans="1:20" s="94" customFormat="1" ht="12.75" customHeight="1" x14ac:dyDescent="0.2">
      <c r="A18" s="241" t="s">
        <v>26</v>
      </c>
      <c r="B18" s="93"/>
      <c r="C18" s="420">
        <v>129.48971801493724</v>
      </c>
      <c r="D18" s="420">
        <v>109.13132936752686</v>
      </c>
      <c r="E18" s="420">
        <v>153.80292490626368</v>
      </c>
      <c r="F18" s="420">
        <v>128.63006375967723</v>
      </c>
      <c r="G18" s="420">
        <v>169.06402780394521</v>
      </c>
      <c r="H18" s="420">
        <v>183.3109918823545</v>
      </c>
      <c r="I18" s="420">
        <v>164.2066515151111</v>
      </c>
      <c r="J18" s="423">
        <v>16.044436577273391</v>
      </c>
    </row>
    <row r="19" spans="1:20" s="94" customFormat="1" ht="12.75" customHeight="1" x14ac:dyDescent="0.2">
      <c r="A19" s="241" t="s">
        <v>111</v>
      </c>
      <c r="B19" s="93"/>
      <c r="C19" s="420">
        <v>121.21032896093118</v>
      </c>
      <c r="D19" s="420">
        <v>110.87801201700007</v>
      </c>
      <c r="E19" s="420">
        <v>134.58716299175353</v>
      </c>
      <c r="F19" s="420">
        <v>97.408378746670905</v>
      </c>
      <c r="G19" s="420">
        <v>148.59133332609923</v>
      </c>
      <c r="H19" s="420">
        <v>162.58983260091495</v>
      </c>
      <c r="I19" s="420">
        <v>160.5307543624333</v>
      </c>
      <c r="J19" s="423">
        <v>15.04402085261211</v>
      </c>
    </row>
    <row r="20" spans="1:20" s="94" customFormat="1" ht="12.75" customHeight="1" x14ac:dyDescent="0.2">
      <c r="A20" s="241" t="s">
        <v>121</v>
      </c>
      <c r="B20" s="93"/>
      <c r="C20" s="420">
        <v>143.09439169943835</v>
      </c>
      <c r="D20" s="420">
        <v>124.69470545456254</v>
      </c>
      <c r="E20" s="420">
        <v>168.13771541870423</v>
      </c>
      <c r="F20" s="420">
        <v>195.40360772372773</v>
      </c>
      <c r="G20" s="420">
        <v>171.23166068784838</v>
      </c>
      <c r="H20" s="420">
        <v>245.22323695763305</v>
      </c>
      <c r="I20" s="420">
        <v>147.33132077498212</v>
      </c>
      <c r="J20" s="423">
        <v>30.974567650396516</v>
      </c>
    </row>
    <row r="21" spans="1:20" s="94" customFormat="1" ht="12.75" customHeight="1" x14ac:dyDescent="0.2">
      <c r="A21" s="241" t="s">
        <v>122</v>
      </c>
      <c r="B21" s="93"/>
      <c r="C21" s="420">
        <v>166.05275461599263</v>
      </c>
      <c r="D21" s="420">
        <v>151.0985152417264</v>
      </c>
      <c r="E21" s="420">
        <v>195.88394520608639</v>
      </c>
      <c r="F21" s="420">
        <v>270.78748894454543</v>
      </c>
      <c r="G21" s="420">
        <v>201.4261515053509</v>
      </c>
      <c r="H21" s="420">
        <v>263.39413404629369</v>
      </c>
      <c r="I21" s="420">
        <v>194.65931089197593</v>
      </c>
      <c r="J21" s="423">
        <v>47.022486711502872</v>
      </c>
    </row>
    <row r="22" spans="1:20" ht="18" hidden="1" customHeight="1" outlineLevel="1" x14ac:dyDescent="0.2">
      <c r="A22" s="105">
        <v>1984</v>
      </c>
      <c r="B22" s="95"/>
      <c r="C22" s="426"/>
      <c r="D22" s="426"/>
      <c r="E22" s="426"/>
      <c r="F22" s="426"/>
      <c r="G22" s="426"/>
      <c r="H22" s="426"/>
      <c r="I22" s="426"/>
      <c r="J22" s="427"/>
      <c r="T22" s="96"/>
    </row>
    <row r="23" spans="1:20" ht="11.1" hidden="1" customHeight="1" outlineLevel="1" x14ac:dyDescent="0.2">
      <c r="A23" s="97" t="s">
        <v>29</v>
      </c>
      <c r="B23" s="95"/>
      <c r="C23" s="428">
        <v>52.145382266076233</v>
      </c>
      <c r="D23" s="428">
        <v>38.382488760879788</v>
      </c>
      <c r="E23" s="428">
        <v>82.318374074649569</v>
      </c>
      <c r="F23" s="428">
        <v>52.167218819298022</v>
      </c>
      <c r="G23" s="428">
        <v>59.106036205222537</v>
      </c>
      <c r="H23" s="428">
        <v>47.428169243470606</v>
      </c>
      <c r="I23" s="428">
        <v>77.186383362567696</v>
      </c>
      <c r="J23" s="429">
        <v>201.2708464612503</v>
      </c>
      <c r="L23" s="352"/>
      <c r="M23" s="352"/>
      <c r="N23" s="352"/>
      <c r="O23" s="352"/>
      <c r="P23" s="352"/>
      <c r="Q23" s="352"/>
      <c r="R23" s="352"/>
      <c r="S23" s="352"/>
      <c r="T23" s="96"/>
    </row>
    <row r="24" spans="1:20" ht="11.1" hidden="1" customHeight="1" outlineLevel="1" x14ac:dyDescent="0.2">
      <c r="A24" s="97" t="s">
        <v>30</v>
      </c>
      <c r="B24" s="95"/>
      <c r="C24" s="428">
        <v>41.605466208315939</v>
      </c>
      <c r="D24" s="428">
        <v>37.167687637983541</v>
      </c>
      <c r="E24" s="428">
        <v>96.059220407980035</v>
      </c>
      <c r="F24" s="428">
        <v>48.060993948538247</v>
      </c>
      <c r="G24" s="428">
        <v>37.048705763556612</v>
      </c>
      <c r="H24" s="428">
        <v>65.466643487751384</v>
      </c>
      <c r="I24" s="428">
        <v>55.605845481595395</v>
      </c>
      <c r="J24" s="429">
        <v>368.40586092486319</v>
      </c>
      <c r="L24" s="352"/>
      <c r="M24" s="352"/>
      <c r="N24" s="352"/>
      <c r="O24" s="352"/>
      <c r="P24" s="352"/>
      <c r="Q24" s="352"/>
      <c r="R24" s="352"/>
      <c r="S24" s="352"/>
      <c r="T24" s="96"/>
    </row>
    <row r="25" spans="1:20" ht="18" hidden="1" customHeight="1" outlineLevel="1" x14ac:dyDescent="0.2">
      <c r="A25" s="92" t="s">
        <v>67</v>
      </c>
      <c r="B25" s="95"/>
      <c r="C25" s="420"/>
      <c r="D25" s="420"/>
      <c r="E25" s="420"/>
      <c r="F25" s="420"/>
      <c r="G25" s="420"/>
      <c r="H25" s="420"/>
      <c r="I25" s="420"/>
      <c r="J25" s="423"/>
      <c r="L25"/>
      <c r="M25"/>
      <c r="N25"/>
      <c r="O25"/>
      <c r="P25"/>
      <c r="Q25"/>
      <c r="R25"/>
      <c r="S25"/>
      <c r="T25" s="96"/>
    </row>
    <row r="26" spans="1:20" ht="11.1" hidden="1" customHeight="1" outlineLevel="1" x14ac:dyDescent="0.2">
      <c r="A26" s="97" t="s">
        <v>27</v>
      </c>
      <c r="B26" s="95"/>
      <c r="C26" s="428">
        <v>55.888923237119201</v>
      </c>
      <c r="D26" s="428">
        <v>42.062850425550224</v>
      </c>
      <c r="E26" s="428">
        <v>92.713283333994838</v>
      </c>
      <c r="F26" s="428">
        <v>63.253461075391293</v>
      </c>
      <c r="G26" s="428">
        <v>39.92515130532427</v>
      </c>
      <c r="H26" s="428">
        <v>74.645051561011343</v>
      </c>
      <c r="I26" s="428">
        <v>90.364046590446975</v>
      </c>
      <c r="J26" s="429">
        <v>113.71515418376367</v>
      </c>
      <c r="L26" s="352"/>
      <c r="M26" s="352"/>
      <c r="N26" s="352"/>
      <c r="O26" s="352"/>
      <c r="P26" s="352"/>
      <c r="Q26" s="352"/>
      <c r="R26" s="352"/>
      <c r="S26" s="352"/>
      <c r="T26" s="96"/>
    </row>
    <row r="27" spans="1:20" ht="11.1" hidden="1" customHeight="1" outlineLevel="1" x14ac:dyDescent="0.2">
      <c r="A27" s="97" t="s">
        <v>28</v>
      </c>
      <c r="B27" s="95"/>
      <c r="C27" s="428">
        <v>61.783464967824031</v>
      </c>
      <c r="D27" s="428">
        <v>44.178341793422071</v>
      </c>
      <c r="E27" s="428">
        <v>76.62752732004823</v>
      </c>
      <c r="F27" s="428">
        <v>51.999177573748291</v>
      </c>
      <c r="G27" s="428">
        <v>60.521372748278971</v>
      </c>
      <c r="H27" s="428">
        <v>58.422480234824071</v>
      </c>
      <c r="I27" s="428">
        <v>102.13944050186248</v>
      </c>
      <c r="J27" s="429">
        <v>65.20799000442382</v>
      </c>
      <c r="L27" s="352"/>
      <c r="M27" s="352"/>
      <c r="N27" s="352"/>
      <c r="O27" s="352"/>
      <c r="P27" s="352"/>
      <c r="Q27" s="352"/>
      <c r="R27" s="352"/>
      <c r="S27" s="352"/>
      <c r="T27" s="96"/>
    </row>
    <row r="28" spans="1:20" ht="11.1" hidden="1" customHeight="1" outlineLevel="1" x14ac:dyDescent="0.2">
      <c r="A28" s="97" t="s">
        <v>29</v>
      </c>
      <c r="B28" s="95"/>
      <c r="C28" s="428">
        <v>73.323056188115331</v>
      </c>
      <c r="D28" s="428">
        <v>55.615353272175703</v>
      </c>
      <c r="E28" s="428">
        <v>75.900612852975442</v>
      </c>
      <c r="F28" s="428">
        <v>60.6305663518092</v>
      </c>
      <c r="G28" s="428">
        <v>85.182218531181604</v>
      </c>
      <c r="H28" s="428">
        <v>78.031989893279274</v>
      </c>
      <c r="I28" s="428">
        <v>86.069440937491208</v>
      </c>
      <c r="J28" s="429">
        <v>140.61119178118881</v>
      </c>
      <c r="L28" s="352"/>
      <c r="M28" s="352"/>
      <c r="N28" s="352"/>
      <c r="O28" s="352"/>
      <c r="P28" s="352"/>
      <c r="Q28" s="352"/>
      <c r="R28" s="352"/>
      <c r="S28" s="352"/>
      <c r="T28" s="96"/>
    </row>
    <row r="29" spans="1:20" ht="11.1" hidden="1" customHeight="1" outlineLevel="1" x14ac:dyDescent="0.2">
      <c r="A29" s="97" t="s">
        <v>30</v>
      </c>
      <c r="B29" s="95"/>
      <c r="C29" s="428">
        <v>98.00134525023168</v>
      </c>
      <c r="D29" s="428">
        <v>78.181479310079453</v>
      </c>
      <c r="E29" s="428">
        <v>77.240472730097423</v>
      </c>
      <c r="F29" s="428">
        <v>89.257253182633931</v>
      </c>
      <c r="G29" s="428">
        <v>116.48673708014226</v>
      </c>
      <c r="H29" s="428">
        <v>103.85354752228525</v>
      </c>
      <c r="I29" s="428">
        <v>94.539635984691259</v>
      </c>
      <c r="J29" s="429">
        <v>391.29266383316065</v>
      </c>
      <c r="L29" s="352"/>
      <c r="M29" s="352"/>
      <c r="N29" s="352"/>
      <c r="O29" s="352"/>
      <c r="P29" s="352"/>
      <c r="Q29" s="352"/>
      <c r="R29" s="352"/>
      <c r="S29" s="352"/>
      <c r="T29" s="96"/>
    </row>
    <row r="30" spans="1:20" ht="18" hidden="1" customHeight="1" outlineLevel="1" x14ac:dyDescent="0.2">
      <c r="A30" s="92" t="s">
        <v>54</v>
      </c>
      <c r="B30" s="95"/>
      <c r="C30" s="420"/>
      <c r="D30" s="420"/>
      <c r="E30" s="420"/>
      <c r="F30" s="420"/>
      <c r="G30" s="420"/>
      <c r="H30" s="420"/>
      <c r="I30" s="420"/>
      <c r="J30" s="423"/>
      <c r="L30"/>
      <c r="M30"/>
      <c r="N30"/>
      <c r="O30"/>
      <c r="P30"/>
      <c r="Q30"/>
      <c r="R30"/>
      <c r="S30"/>
      <c r="T30" s="96"/>
    </row>
    <row r="31" spans="1:20" ht="11.1" hidden="1" customHeight="1" outlineLevel="1" x14ac:dyDescent="0.2">
      <c r="A31" s="97" t="s">
        <v>27</v>
      </c>
      <c r="B31" s="95"/>
      <c r="C31" s="428">
        <v>89.480535212774001</v>
      </c>
      <c r="D31" s="428">
        <v>100.10042484080832</v>
      </c>
      <c r="E31" s="428">
        <v>75.62469414776632</v>
      </c>
      <c r="F31" s="428">
        <v>128.51910495029526</v>
      </c>
      <c r="G31" s="428">
        <v>68.487235881279958</v>
      </c>
      <c r="H31" s="428">
        <v>80.619507756788451</v>
      </c>
      <c r="I31" s="428">
        <v>97.106645547594113</v>
      </c>
      <c r="J31" s="429">
        <v>111.56409524243554</v>
      </c>
      <c r="L31" s="352"/>
      <c r="M31" s="352"/>
      <c r="N31" s="352"/>
      <c r="O31" s="352"/>
      <c r="P31" s="352"/>
      <c r="Q31" s="352"/>
      <c r="R31" s="352"/>
      <c r="S31" s="352"/>
    </row>
    <row r="32" spans="1:20" ht="11.1" hidden="1" customHeight="1" outlineLevel="1" x14ac:dyDescent="0.2">
      <c r="A32" s="97" t="s">
        <v>28</v>
      </c>
      <c r="B32" s="95"/>
      <c r="C32" s="428">
        <v>96.25255934890437</v>
      </c>
      <c r="D32" s="428">
        <v>90.745984654561511</v>
      </c>
      <c r="E32" s="428">
        <v>71.082753454404269</v>
      </c>
      <c r="F32" s="428">
        <v>84.981263653312311</v>
      </c>
      <c r="G32" s="428">
        <v>97.122181131094806</v>
      </c>
      <c r="H32" s="428">
        <v>89.224576084788353</v>
      </c>
      <c r="I32" s="428">
        <v>124.70209807381285</v>
      </c>
      <c r="J32" s="429">
        <v>91.167978424228949</v>
      </c>
      <c r="L32" s="352"/>
      <c r="M32" s="352"/>
      <c r="N32" s="352"/>
      <c r="O32" s="352"/>
      <c r="P32" s="352"/>
      <c r="Q32" s="352"/>
      <c r="R32" s="352"/>
      <c r="S32" s="352"/>
    </row>
    <row r="33" spans="1:20" ht="11.1" hidden="1" customHeight="1" outlineLevel="1" x14ac:dyDescent="0.2">
      <c r="A33" s="97" t="s">
        <v>29</v>
      </c>
      <c r="B33" s="95"/>
      <c r="C33" s="428">
        <v>102.38338293407085</v>
      </c>
      <c r="D33" s="428">
        <v>104.35621836155893</v>
      </c>
      <c r="E33" s="428">
        <v>81.541720988841632</v>
      </c>
      <c r="F33" s="428">
        <v>87.246736259858451</v>
      </c>
      <c r="G33" s="428">
        <v>102.97860055604437</v>
      </c>
      <c r="H33" s="428">
        <v>96.347914147024966</v>
      </c>
      <c r="I33" s="428">
        <v>77.450243863088559</v>
      </c>
      <c r="J33" s="429">
        <v>113.74436538628918</v>
      </c>
      <c r="L33" s="352"/>
      <c r="M33" s="352"/>
      <c r="N33" s="352"/>
      <c r="O33" s="352"/>
      <c r="P33" s="352"/>
      <c r="Q33" s="352"/>
      <c r="R33" s="352"/>
      <c r="S33" s="352"/>
    </row>
    <row r="34" spans="1:20" ht="11.1" hidden="1" customHeight="1" outlineLevel="1" x14ac:dyDescent="0.2">
      <c r="A34" s="97" t="s">
        <v>30</v>
      </c>
      <c r="B34" s="95"/>
      <c r="C34" s="428">
        <v>90.926307258593837</v>
      </c>
      <c r="D34" s="428">
        <v>94.286160354847851</v>
      </c>
      <c r="E34" s="428">
        <v>120.89419266904248</v>
      </c>
      <c r="F34" s="428">
        <v>91.6523210162228</v>
      </c>
      <c r="G34" s="428">
        <v>100.57528060016966</v>
      </c>
      <c r="H34" s="428">
        <v>116.89187424860505</v>
      </c>
      <c r="I34" s="428">
        <v>74.466391544965887</v>
      </c>
      <c r="J34" s="429">
        <v>86.119541837437808</v>
      </c>
      <c r="L34" s="352"/>
      <c r="M34" s="352"/>
      <c r="N34" s="352"/>
      <c r="O34" s="352"/>
      <c r="P34" s="352"/>
      <c r="Q34" s="352"/>
      <c r="R34" s="352"/>
      <c r="S34" s="352"/>
    </row>
    <row r="35" spans="1:20" ht="18" hidden="1" customHeight="1" outlineLevel="1" x14ac:dyDescent="0.2">
      <c r="A35" s="92" t="s">
        <v>55</v>
      </c>
      <c r="B35" s="95"/>
      <c r="C35" s="420"/>
      <c r="D35" s="420"/>
      <c r="E35" s="420"/>
      <c r="F35" s="420"/>
      <c r="G35" s="420"/>
      <c r="H35" s="420"/>
      <c r="I35" s="420"/>
      <c r="J35" s="423"/>
      <c r="L35"/>
      <c r="M35"/>
      <c r="N35"/>
      <c r="O35"/>
      <c r="P35"/>
      <c r="Q35"/>
      <c r="R35"/>
      <c r="S35"/>
      <c r="T35" s="96"/>
    </row>
    <row r="36" spans="1:20" ht="11.1" hidden="1" customHeight="1" outlineLevel="1" x14ac:dyDescent="0.2">
      <c r="A36" s="97" t="s">
        <v>27</v>
      </c>
      <c r="B36" s="95"/>
      <c r="C36" s="428">
        <v>77.532651867969619</v>
      </c>
      <c r="D36" s="428">
        <v>52.929532015528615</v>
      </c>
      <c r="E36" s="428">
        <v>98.826530123542994</v>
      </c>
      <c r="F36" s="428">
        <v>70.706220050468701</v>
      </c>
      <c r="G36" s="428">
        <v>94.789747357261703</v>
      </c>
      <c r="H36" s="428">
        <v>128.02368522595214</v>
      </c>
      <c r="I36" s="428">
        <v>133.20513357132575</v>
      </c>
      <c r="J36" s="429">
        <v>75.196587049683501</v>
      </c>
      <c r="L36" s="352"/>
      <c r="M36" s="352"/>
      <c r="N36" s="352"/>
      <c r="O36" s="352"/>
      <c r="P36" s="352"/>
      <c r="Q36" s="352"/>
      <c r="R36" s="352"/>
      <c r="S36" s="352"/>
    </row>
    <row r="37" spans="1:20" ht="11.1" hidden="1" customHeight="1" outlineLevel="1" x14ac:dyDescent="0.2">
      <c r="A37" s="97" t="s">
        <v>28</v>
      </c>
      <c r="B37" s="95"/>
      <c r="C37" s="428">
        <v>83.105807892628022</v>
      </c>
      <c r="D37" s="428">
        <v>63.159792942145806</v>
      </c>
      <c r="E37" s="428">
        <v>90.581632326206574</v>
      </c>
      <c r="F37" s="428">
        <v>57.481326545738533</v>
      </c>
      <c r="G37" s="428">
        <v>95.225012464649353</v>
      </c>
      <c r="H37" s="428">
        <v>70.891625147686085</v>
      </c>
      <c r="I37" s="428">
        <v>154.38970577684154</v>
      </c>
      <c r="J37" s="429">
        <v>78.661037207928388</v>
      </c>
      <c r="L37" s="352"/>
      <c r="M37" s="352"/>
      <c r="N37" s="352"/>
      <c r="O37" s="352"/>
      <c r="P37" s="352"/>
      <c r="Q37" s="352"/>
      <c r="R37" s="352"/>
      <c r="S37" s="352"/>
    </row>
    <row r="38" spans="1:20" ht="11.1" hidden="1" customHeight="1" outlineLevel="1" x14ac:dyDescent="0.2">
      <c r="A38" s="97" t="s">
        <v>29</v>
      </c>
      <c r="B38" s="95"/>
      <c r="C38" s="428">
        <v>105.73676011002277</v>
      </c>
      <c r="D38" s="428">
        <v>82.113922152647561</v>
      </c>
      <c r="E38" s="428">
        <v>90.325212942412278</v>
      </c>
      <c r="F38" s="428">
        <v>84.719715328179205</v>
      </c>
      <c r="G38" s="428">
        <v>114.0199454600921</v>
      </c>
      <c r="H38" s="428">
        <v>98.959351065975071</v>
      </c>
      <c r="I38" s="428">
        <v>110.43337718373465</v>
      </c>
      <c r="J38" s="429">
        <v>282.6488176511275</v>
      </c>
      <c r="L38" s="352"/>
      <c r="M38" s="352"/>
      <c r="N38" s="352"/>
      <c r="O38" s="352"/>
      <c r="P38" s="352"/>
      <c r="Q38" s="352"/>
      <c r="R38" s="352"/>
      <c r="S38" s="352"/>
    </row>
    <row r="39" spans="1:20" ht="11.1" hidden="1" customHeight="1" outlineLevel="1" x14ac:dyDescent="0.2">
      <c r="A39" s="97" t="s">
        <v>30</v>
      </c>
      <c r="B39" s="95"/>
      <c r="C39" s="428">
        <v>108.39441146189519</v>
      </c>
      <c r="D39" s="428">
        <v>112.1022531601154</v>
      </c>
      <c r="E39" s="428">
        <v>104.02199342820057</v>
      </c>
      <c r="F39" s="428">
        <v>107.52004584871106</v>
      </c>
      <c r="G39" s="428">
        <v>125.36912545375698</v>
      </c>
      <c r="H39" s="428">
        <v>115.82508925139041</v>
      </c>
      <c r="I39" s="428">
        <v>69.722390852418414</v>
      </c>
      <c r="J39" s="429">
        <v>605.56756147062003</v>
      </c>
      <c r="L39" s="352"/>
      <c r="M39" s="352"/>
      <c r="N39" s="352"/>
      <c r="O39" s="352"/>
      <c r="P39" s="352"/>
      <c r="Q39" s="352"/>
      <c r="R39" s="352"/>
      <c r="S39" s="352"/>
    </row>
    <row r="40" spans="1:20" s="99" customFormat="1" ht="18" hidden="1" customHeight="1" outlineLevel="1" x14ac:dyDescent="0.2">
      <c r="A40" s="88" t="s">
        <v>31</v>
      </c>
      <c r="B40" s="90"/>
      <c r="C40" s="420"/>
      <c r="D40" s="420"/>
      <c r="E40" s="420"/>
      <c r="F40" s="420"/>
      <c r="G40" s="420"/>
      <c r="H40" s="420"/>
      <c r="I40" s="420"/>
      <c r="J40" s="423"/>
      <c r="L40"/>
      <c r="M40"/>
      <c r="N40"/>
      <c r="O40"/>
      <c r="P40"/>
      <c r="Q40"/>
      <c r="R40"/>
      <c r="S40"/>
      <c r="T40" s="100"/>
    </row>
    <row r="41" spans="1:20" ht="11.1" hidden="1" customHeight="1" outlineLevel="1" x14ac:dyDescent="0.2">
      <c r="A41" s="101" t="s">
        <v>27</v>
      </c>
      <c r="B41" s="89"/>
      <c r="C41" s="428">
        <v>96.27834482376953</v>
      </c>
      <c r="D41" s="428">
        <v>118.47757057056761</v>
      </c>
      <c r="E41" s="428">
        <v>99.292956259353701</v>
      </c>
      <c r="F41" s="428">
        <v>104.46636749381571</v>
      </c>
      <c r="G41" s="428">
        <v>87.536169163102585</v>
      </c>
      <c r="H41" s="428">
        <v>97.179466443761655</v>
      </c>
      <c r="I41" s="428">
        <v>160.76599158882482</v>
      </c>
      <c r="J41" s="429">
        <v>55.862182671340356</v>
      </c>
      <c r="L41" s="352"/>
      <c r="M41" s="352"/>
      <c r="N41" s="352"/>
      <c r="O41" s="352"/>
      <c r="P41" s="352"/>
      <c r="Q41" s="352"/>
      <c r="R41" s="352"/>
      <c r="S41" s="352"/>
      <c r="T41" s="96"/>
    </row>
    <row r="42" spans="1:20" ht="11.1" hidden="1" customHeight="1" outlineLevel="1" x14ac:dyDescent="0.2">
      <c r="A42" s="101" t="s">
        <v>28</v>
      </c>
      <c r="B42" s="89"/>
      <c r="C42" s="428">
        <v>84.502708236104212</v>
      </c>
      <c r="D42" s="428">
        <v>90.10980615076285</v>
      </c>
      <c r="E42" s="428">
        <v>106.83213427269303</v>
      </c>
      <c r="F42" s="428">
        <v>89.772789828105999</v>
      </c>
      <c r="G42" s="428">
        <v>77.475052154499835</v>
      </c>
      <c r="H42" s="428">
        <v>98.92327102529373</v>
      </c>
      <c r="I42" s="428">
        <v>150.49158785430774</v>
      </c>
      <c r="J42" s="429">
        <v>40.758635244862788</v>
      </c>
      <c r="L42" s="352"/>
      <c r="M42" s="352"/>
      <c r="N42" s="352"/>
      <c r="O42" s="352"/>
      <c r="P42" s="352"/>
      <c r="Q42" s="352"/>
      <c r="R42" s="352"/>
      <c r="S42" s="352"/>
    </row>
    <row r="43" spans="1:20" ht="11.1" hidden="1" customHeight="1" outlineLevel="1" x14ac:dyDescent="0.2">
      <c r="A43" s="101" t="s">
        <v>29</v>
      </c>
      <c r="B43" s="89"/>
      <c r="C43" s="428">
        <v>103.79857378047362</v>
      </c>
      <c r="D43" s="428">
        <v>87.52658300244876</v>
      </c>
      <c r="E43" s="428">
        <v>85.944421299290426</v>
      </c>
      <c r="F43" s="428">
        <v>83.092475246934399</v>
      </c>
      <c r="G43" s="428">
        <v>100.88068409171736</v>
      </c>
      <c r="H43" s="428">
        <v>85.328959716988976</v>
      </c>
      <c r="I43" s="428">
        <v>119.09226373157526</v>
      </c>
      <c r="J43" s="429">
        <v>288.99607294735881</v>
      </c>
      <c r="L43" s="352"/>
      <c r="M43" s="352"/>
      <c r="N43" s="352"/>
      <c r="O43" s="352"/>
      <c r="P43" s="352"/>
      <c r="Q43" s="352"/>
      <c r="R43" s="352"/>
      <c r="S43" s="352"/>
    </row>
    <row r="44" spans="1:20" ht="11.1" hidden="1" customHeight="1" outlineLevel="1" x14ac:dyDescent="0.2">
      <c r="A44" s="101" t="s">
        <v>30</v>
      </c>
      <c r="B44" s="89"/>
      <c r="C44" s="430">
        <v>107.51083781164965</v>
      </c>
      <c r="D44" s="430">
        <v>69.947430557457082</v>
      </c>
      <c r="E44" s="430">
        <v>105.89250200556046</v>
      </c>
      <c r="F44" s="430">
        <v>89.466023648409418</v>
      </c>
      <c r="G44" s="430">
        <v>161.07094062181127</v>
      </c>
      <c r="H44" s="430">
        <v>125.47073736573542</v>
      </c>
      <c r="I44" s="430">
        <v>122.57177253106147</v>
      </c>
      <c r="J44" s="429">
        <v>246.58802623951703</v>
      </c>
      <c r="L44" s="353"/>
      <c r="M44" s="353"/>
      <c r="N44" s="353"/>
      <c r="O44" s="353"/>
      <c r="P44" s="353"/>
      <c r="Q44" s="353"/>
      <c r="R44" s="353"/>
      <c r="S44" s="353"/>
    </row>
    <row r="45" spans="1:20" ht="18" hidden="1" customHeight="1" outlineLevel="1" x14ac:dyDescent="0.2">
      <c r="A45" s="88" t="s">
        <v>32</v>
      </c>
      <c r="B45" s="90"/>
      <c r="C45" s="420"/>
      <c r="D45" s="420"/>
      <c r="E45" s="420"/>
      <c r="F45" s="420"/>
      <c r="G45" s="420"/>
      <c r="H45" s="420"/>
      <c r="I45" s="420"/>
      <c r="J45" s="423"/>
      <c r="L45"/>
      <c r="M45"/>
      <c r="N45"/>
      <c r="O45"/>
      <c r="P45"/>
      <c r="Q45"/>
      <c r="R45"/>
      <c r="S45"/>
      <c r="T45" s="96"/>
    </row>
    <row r="46" spans="1:20" ht="11.1" hidden="1" customHeight="1" outlineLevel="1" x14ac:dyDescent="0.2">
      <c r="A46" s="101" t="s">
        <v>27</v>
      </c>
      <c r="B46" s="89"/>
      <c r="C46" s="428">
        <v>108.86014007834454</v>
      </c>
      <c r="D46" s="428">
        <v>62.758259209561231</v>
      </c>
      <c r="E46" s="428">
        <v>124.16751427243335</v>
      </c>
      <c r="F46" s="428">
        <v>75.062423887280431</v>
      </c>
      <c r="G46" s="428">
        <v>94.383649781192702</v>
      </c>
      <c r="H46" s="428">
        <v>120.74449716698257</v>
      </c>
      <c r="I46" s="428">
        <v>162.29690193956381</v>
      </c>
      <c r="J46" s="429">
        <v>455.21591060071341</v>
      </c>
      <c r="L46" s="352"/>
      <c r="M46" s="352"/>
      <c r="N46" s="352"/>
      <c r="O46" s="352"/>
      <c r="P46" s="352"/>
      <c r="Q46" s="352"/>
      <c r="R46" s="352"/>
      <c r="S46" s="352"/>
      <c r="T46" s="96"/>
    </row>
    <row r="47" spans="1:20" ht="11.1" hidden="1" customHeight="1" outlineLevel="1" x14ac:dyDescent="0.2">
      <c r="A47" s="101" t="s">
        <v>28</v>
      </c>
      <c r="B47" s="89"/>
      <c r="C47" s="428">
        <v>97.498614453391369</v>
      </c>
      <c r="D47" s="428">
        <v>65.190249705729727</v>
      </c>
      <c r="E47" s="428">
        <v>97.892846352795175</v>
      </c>
      <c r="F47" s="428">
        <v>97.095019062952318</v>
      </c>
      <c r="G47" s="428">
        <v>102.19697101542296</v>
      </c>
      <c r="H47" s="428">
        <v>140.61140409780188</v>
      </c>
      <c r="I47" s="428">
        <v>165.32162302260895</v>
      </c>
      <c r="J47" s="429">
        <v>145.95086671378618</v>
      </c>
      <c r="L47" s="352"/>
      <c r="M47" s="352"/>
      <c r="N47" s="352"/>
      <c r="O47" s="352"/>
      <c r="P47" s="352"/>
      <c r="Q47" s="352"/>
      <c r="R47" s="352"/>
      <c r="S47" s="352"/>
    </row>
    <row r="48" spans="1:20" ht="11.1" hidden="1" customHeight="1" outlineLevel="1" x14ac:dyDescent="0.2">
      <c r="A48" s="101" t="s">
        <v>29</v>
      </c>
      <c r="B48" s="89"/>
      <c r="C48" s="428">
        <v>114.44164444697201</v>
      </c>
      <c r="D48" s="428">
        <v>81.148100504651609</v>
      </c>
      <c r="E48" s="428">
        <v>171.75109775910681</v>
      </c>
      <c r="F48" s="428">
        <v>127.28064803623576</v>
      </c>
      <c r="G48" s="428">
        <v>139.27012580064667</v>
      </c>
      <c r="H48" s="428">
        <v>150.84999017583399</v>
      </c>
      <c r="I48" s="428">
        <v>113.68093930262944</v>
      </c>
      <c r="J48" s="429">
        <v>383.41082700319259</v>
      </c>
      <c r="L48" s="352"/>
      <c r="M48" s="352"/>
      <c r="N48" s="352"/>
      <c r="O48" s="352"/>
      <c r="P48" s="352"/>
      <c r="Q48" s="352"/>
      <c r="R48" s="352"/>
      <c r="S48" s="352"/>
    </row>
    <row r="49" spans="1:20" ht="11.1" hidden="1" customHeight="1" outlineLevel="1" x14ac:dyDescent="0.2">
      <c r="A49" s="101" t="s">
        <v>30</v>
      </c>
      <c r="B49" s="89"/>
      <c r="C49" s="428">
        <v>89.318051500948854</v>
      </c>
      <c r="D49" s="428">
        <v>70.93894170942248</v>
      </c>
      <c r="E49" s="428">
        <v>112.52566045213894</v>
      </c>
      <c r="F49" s="428">
        <v>75.004922568153447</v>
      </c>
      <c r="G49" s="428">
        <v>96.421917589974655</v>
      </c>
      <c r="H49" s="428">
        <v>92.765370203076657</v>
      </c>
      <c r="I49" s="428">
        <v>115.41587334018072</v>
      </c>
      <c r="J49" s="429">
        <v>395.16924292545735</v>
      </c>
      <c r="L49" s="352"/>
      <c r="M49" s="352"/>
      <c r="N49" s="352"/>
      <c r="O49" s="352"/>
      <c r="P49" s="352"/>
      <c r="Q49" s="352"/>
      <c r="R49" s="352"/>
      <c r="S49" s="352"/>
      <c r="T49" s="96"/>
    </row>
    <row r="50" spans="1:20" ht="15" hidden="1" customHeight="1" outlineLevel="1" x14ac:dyDescent="0.2">
      <c r="A50" s="88" t="s">
        <v>33</v>
      </c>
      <c r="B50" s="90"/>
      <c r="C50" s="420"/>
      <c r="D50" s="420"/>
      <c r="E50" s="420"/>
      <c r="F50" s="420"/>
      <c r="G50" s="420"/>
      <c r="H50" s="420"/>
      <c r="I50" s="420"/>
      <c r="J50" s="423"/>
      <c r="L50"/>
      <c r="M50"/>
      <c r="N50"/>
      <c r="O50"/>
      <c r="P50"/>
      <c r="Q50"/>
      <c r="R50"/>
      <c r="S50"/>
      <c r="T50" s="96"/>
    </row>
    <row r="51" spans="1:20" ht="11.1" hidden="1" customHeight="1" outlineLevel="1" x14ac:dyDescent="0.2">
      <c r="A51" s="101" t="s">
        <v>27</v>
      </c>
      <c r="B51" s="89"/>
      <c r="C51" s="428">
        <v>85.119471088186543</v>
      </c>
      <c r="D51" s="428">
        <v>60.354537867311421</v>
      </c>
      <c r="E51" s="428">
        <v>127.39581902826495</v>
      </c>
      <c r="F51" s="428">
        <v>81.04990149865931</v>
      </c>
      <c r="G51" s="428">
        <v>118.50604314474673</v>
      </c>
      <c r="H51" s="428">
        <v>100.63562855988548</v>
      </c>
      <c r="I51" s="428">
        <v>174.11999474904943</v>
      </c>
      <c r="J51" s="429">
        <v>388.89889933398376</v>
      </c>
      <c r="L51" s="352"/>
      <c r="M51" s="352"/>
      <c r="N51" s="352"/>
      <c r="O51" s="352"/>
      <c r="P51" s="352"/>
      <c r="Q51" s="352"/>
      <c r="R51" s="352"/>
      <c r="S51" s="352"/>
    </row>
    <row r="52" spans="1:20" ht="11.1" hidden="1" customHeight="1" outlineLevel="1" x14ac:dyDescent="0.2">
      <c r="A52" s="101" t="s">
        <v>28</v>
      </c>
      <c r="B52" s="89"/>
      <c r="C52" s="428">
        <v>88.50275082824264</v>
      </c>
      <c r="D52" s="428">
        <v>64.500640563259452</v>
      </c>
      <c r="E52" s="428">
        <v>112.31574127578286</v>
      </c>
      <c r="F52" s="428">
        <v>85.408684605867478</v>
      </c>
      <c r="G52" s="428">
        <v>142.56128949975252</v>
      </c>
      <c r="H52" s="428">
        <v>82.187742187098081</v>
      </c>
      <c r="I52" s="428">
        <v>179.30012165262207</v>
      </c>
      <c r="J52" s="429">
        <v>141.55848348095955</v>
      </c>
      <c r="L52" s="352"/>
      <c r="M52" s="352"/>
      <c r="N52" s="352"/>
      <c r="O52" s="352"/>
      <c r="P52" s="352"/>
      <c r="Q52" s="352"/>
      <c r="R52" s="352"/>
      <c r="S52" s="352"/>
    </row>
    <row r="53" spans="1:20" ht="11.1" hidden="1" customHeight="1" outlineLevel="1" x14ac:dyDescent="0.2">
      <c r="A53" s="101" t="s">
        <v>29</v>
      </c>
      <c r="B53" s="89"/>
      <c r="C53" s="428">
        <v>151.50442609050489</v>
      </c>
      <c r="D53" s="428">
        <v>89.907483710722616</v>
      </c>
      <c r="E53" s="428">
        <v>138.44978664235396</v>
      </c>
      <c r="F53" s="428">
        <v>117.19419584673922</v>
      </c>
      <c r="G53" s="428">
        <v>181.51378963372139</v>
      </c>
      <c r="H53" s="428">
        <v>114.26685920074362</v>
      </c>
      <c r="I53" s="428">
        <v>219.42839379870111</v>
      </c>
      <c r="J53" s="429">
        <v>229.56500181792742</v>
      </c>
      <c r="L53" s="352"/>
      <c r="M53" s="352"/>
      <c r="N53" s="352"/>
      <c r="O53" s="352"/>
      <c r="P53" s="352"/>
      <c r="Q53" s="352"/>
      <c r="R53" s="352"/>
      <c r="S53" s="352"/>
    </row>
    <row r="54" spans="1:20" ht="11.1" hidden="1" customHeight="1" outlineLevel="1" x14ac:dyDescent="0.2">
      <c r="A54" s="101" t="s">
        <v>30</v>
      </c>
      <c r="B54" s="89"/>
      <c r="C54" s="428">
        <v>148.0813093045727</v>
      </c>
      <c r="D54" s="428">
        <v>93.312895909467159</v>
      </c>
      <c r="E54" s="428">
        <v>111.36517009752882</v>
      </c>
      <c r="F54" s="428">
        <v>128.47712751412004</v>
      </c>
      <c r="G54" s="428">
        <v>236.91086825145717</v>
      </c>
      <c r="H54" s="428">
        <v>138.10597589888621</v>
      </c>
      <c r="I54" s="428">
        <v>138.15667813058388</v>
      </c>
      <c r="J54" s="429">
        <v>727.83898858009343</v>
      </c>
      <c r="L54" s="352"/>
      <c r="M54" s="352"/>
      <c r="N54" s="352"/>
      <c r="O54" s="352"/>
      <c r="P54" s="352"/>
      <c r="Q54" s="352"/>
      <c r="R54" s="352"/>
      <c r="S54" s="352"/>
      <c r="T54" s="96"/>
    </row>
    <row r="55" spans="1:20" ht="15" hidden="1" customHeight="1" outlineLevel="1" collapsed="1" x14ac:dyDescent="0.2">
      <c r="A55" s="88" t="s">
        <v>34</v>
      </c>
      <c r="B55" s="90"/>
      <c r="C55" s="420"/>
      <c r="D55" s="420"/>
      <c r="E55" s="420"/>
      <c r="F55" s="420"/>
      <c r="G55" s="420"/>
      <c r="H55" s="420"/>
      <c r="I55" s="420"/>
      <c r="J55" s="423"/>
      <c r="L55"/>
      <c r="M55"/>
      <c r="N55"/>
      <c r="O55"/>
      <c r="P55"/>
      <c r="Q55"/>
      <c r="R55"/>
      <c r="S55"/>
    </row>
    <row r="56" spans="1:20" ht="12.75" hidden="1" customHeight="1" outlineLevel="1" x14ac:dyDescent="0.2">
      <c r="A56" s="101" t="s">
        <v>27</v>
      </c>
      <c r="B56" s="89"/>
      <c r="C56" s="428">
        <v>123.8535112420079</v>
      </c>
      <c r="D56" s="428">
        <v>96.159881847706799</v>
      </c>
      <c r="E56" s="428">
        <v>78.940536024120149</v>
      </c>
      <c r="F56" s="428">
        <v>144.57655002035594</v>
      </c>
      <c r="G56" s="428">
        <v>179.9450839289764</v>
      </c>
      <c r="H56" s="428">
        <v>169.71346574576449</v>
      </c>
      <c r="I56" s="428">
        <v>168.15209355151489</v>
      </c>
      <c r="J56" s="429">
        <v>87.932020083388522</v>
      </c>
      <c r="L56" s="352"/>
      <c r="M56" s="352"/>
      <c r="N56" s="352"/>
      <c r="O56" s="352"/>
      <c r="P56" s="352"/>
      <c r="Q56" s="352"/>
      <c r="R56" s="352"/>
      <c r="S56" s="352"/>
    </row>
    <row r="57" spans="1:20" ht="12.75" hidden="1" customHeight="1" outlineLevel="1" x14ac:dyDescent="0.2">
      <c r="A57" s="101" t="s">
        <v>28</v>
      </c>
      <c r="B57" s="89"/>
      <c r="C57" s="428">
        <v>121.48281598525857</v>
      </c>
      <c r="D57" s="428">
        <v>89.205749948924691</v>
      </c>
      <c r="E57" s="428">
        <v>68.934176037158295</v>
      </c>
      <c r="F57" s="428">
        <v>113.05106332717881</v>
      </c>
      <c r="G57" s="428">
        <v>171.84326448964362</v>
      </c>
      <c r="H57" s="428">
        <v>142.0309629240339</v>
      </c>
      <c r="I57" s="428">
        <v>169.05218325692837</v>
      </c>
      <c r="J57" s="429">
        <v>45.017958746580192</v>
      </c>
      <c r="L57" s="352"/>
      <c r="M57" s="352"/>
      <c r="N57" s="352"/>
      <c r="O57" s="352"/>
      <c r="P57" s="352"/>
      <c r="Q57" s="352"/>
      <c r="R57" s="352"/>
      <c r="S57" s="352"/>
    </row>
    <row r="58" spans="1:20" ht="12.75" hidden="1" customHeight="1" outlineLevel="1" x14ac:dyDescent="0.2">
      <c r="A58" s="101" t="s">
        <v>29</v>
      </c>
      <c r="B58" s="89"/>
      <c r="C58" s="428">
        <v>130.34408611515062</v>
      </c>
      <c r="D58" s="428">
        <v>98.697085731533093</v>
      </c>
      <c r="E58" s="428">
        <v>89.483505331906827</v>
      </c>
      <c r="F58" s="428">
        <v>207.28267800538464</v>
      </c>
      <c r="G58" s="428">
        <v>205.11571920747801</v>
      </c>
      <c r="H58" s="428">
        <v>247.95404548727419</v>
      </c>
      <c r="I58" s="428">
        <v>145.60293103405644</v>
      </c>
      <c r="J58" s="429">
        <v>96.072116330347754</v>
      </c>
      <c r="L58" s="352"/>
      <c r="M58" s="352"/>
      <c r="N58" s="352"/>
      <c r="O58" s="352"/>
      <c r="P58" s="352"/>
      <c r="Q58" s="352"/>
      <c r="R58" s="352"/>
      <c r="S58" s="352"/>
    </row>
    <row r="59" spans="1:20" ht="12.75" hidden="1" customHeight="1" outlineLevel="1" x14ac:dyDescent="0.2">
      <c r="A59" s="101" t="s">
        <v>30</v>
      </c>
      <c r="B59" s="89"/>
      <c r="C59" s="428">
        <v>120.72337819539574</v>
      </c>
      <c r="D59" s="428">
        <v>94.582013978721534</v>
      </c>
      <c r="E59" s="428">
        <v>126.47400011579037</v>
      </c>
      <c r="F59" s="428">
        <v>159.23741612953691</v>
      </c>
      <c r="G59" s="428">
        <v>253.60208650527824</v>
      </c>
      <c r="H59" s="428">
        <v>185.572307758926</v>
      </c>
      <c r="I59" s="428">
        <v>88.598841748490401</v>
      </c>
      <c r="J59" s="429">
        <v>47.397354248105508</v>
      </c>
      <c r="L59" s="352"/>
      <c r="M59" s="352"/>
      <c r="N59" s="352"/>
      <c r="O59" s="352"/>
      <c r="P59" s="352"/>
      <c r="Q59" s="352"/>
      <c r="R59" s="352"/>
      <c r="S59" s="352"/>
    </row>
    <row r="60" spans="1:20" ht="15" hidden="1" customHeight="1" outlineLevel="1" collapsed="1" x14ac:dyDescent="0.2">
      <c r="A60" s="102" t="s">
        <v>49</v>
      </c>
      <c r="B60" s="93"/>
      <c r="C60" s="420"/>
      <c r="D60" s="420"/>
      <c r="E60" s="420"/>
      <c r="F60" s="420"/>
      <c r="G60" s="420"/>
      <c r="H60" s="420"/>
      <c r="I60" s="420"/>
      <c r="J60" s="423"/>
      <c r="L60"/>
      <c r="M60"/>
      <c r="N60"/>
      <c r="O60"/>
      <c r="P60"/>
      <c r="Q60"/>
      <c r="R60"/>
      <c r="S60"/>
    </row>
    <row r="61" spans="1:20" ht="12.75" hidden="1" customHeight="1" outlineLevel="1" x14ac:dyDescent="0.2">
      <c r="A61" s="97" t="s">
        <v>27</v>
      </c>
      <c r="B61" s="95"/>
      <c r="C61" s="428">
        <v>105.59633854408044</v>
      </c>
      <c r="D61" s="428">
        <v>95.018232239995996</v>
      </c>
      <c r="E61" s="428">
        <v>119.82072030803548</v>
      </c>
      <c r="F61" s="428">
        <v>155.68964535427691</v>
      </c>
      <c r="G61" s="428">
        <v>244.31918730995653</v>
      </c>
      <c r="H61" s="428">
        <v>88.866699669572427</v>
      </c>
      <c r="I61" s="428">
        <v>218.43712838042796</v>
      </c>
      <c r="J61" s="429">
        <v>196.68458633074027</v>
      </c>
      <c r="L61" s="352"/>
      <c r="M61" s="352"/>
      <c r="N61" s="352"/>
      <c r="O61" s="352"/>
      <c r="P61" s="352"/>
      <c r="Q61" s="352"/>
      <c r="R61" s="352"/>
      <c r="S61" s="352"/>
    </row>
    <row r="62" spans="1:20" ht="12.75" hidden="1" customHeight="1" outlineLevel="1" x14ac:dyDescent="0.2">
      <c r="A62" s="101" t="s">
        <v>28</v>
      </c>
      <c r="B62" s="95"/>
      <c r="C62" s="428">
        <v>168.98073256384728</v>
      </c>
      <c r="D62" s="428">
        <v>160.18191103247625</v>
      </c>
      <c r="E62" s="428">
        <v>95.049489815032814</v>
      </c>
      <c r="F62" s="428">
        <v>216.12772386777249</v>
      </c>
      <c r="G62" s="428">
        <v>273.21672569671682</v>
      </c>
      <c r="H62" s="428">
        <v>120.75418864684619</v>
      </c>
      <c r="I62" s="428">
        <v>188.2182577438335</v>
      </c>
      <c r="J62" s="429">
        <v>53.504326503897836</v>
      </c>
      <c r="L62" s="352"/>
      <c r="M62" s="352"/>
      <c r="N62" s="352"/>
      <c r="O62" s="352"/>
      <c r="P62" s="352"/>
      <c r="Q62" s="352"/>
      <c r="R62" s="352"/>
      <c r="S62" s="352"/>
    </row>
    <row r="63" spans="1:20" ht="12.75" hidden="1" customHeight="1" outlineLevel="1" collapsed="1" x14ac:dyDescent="0.2">
      <c r="A63" s="101" t="s">
        <v>29</v>
      </c>
      <c r="B63" s="95"/>
      <c r="C63" s="428">
        <v>146.24364512538838</v>
      </c>
      <c r="D63" s="428">
        <v>162.87534152675619</v>
      </c>
      <c r="E63" s="428">
        <v>81.715471992504291</v>
      </c>
      <c r="F63" s="428">
        <v>269.11576099861765</v>
      </c>
      <c r="G63" s="428">
        <v>259.89225709989995</v>
      </c>
      <c r="H63" s="428">
        <v>163.72660516745435</v>
      </c>
      <c r="I63" s="428">
        <v>110.89792642629376</v>
      </c>
      <c r="J63" s="429">
        <v>126.53519258825729</v>
      </c>
      <c r="L63" s="352"/>
      <c r="M63" s="352"/>
      <c r="N63" s="352"/>
      <c r="O63" s="352"/>
      <c r="P63" s="352"/>
      <c r="Q63" s="352"/>
      <c r="R63" s="352"/>
      <c r="S63" s="352"/>
    </row>
    <row r="64" spans="1:20" ht="12.75" hidden="1" customHeight="1" outlineLevel="1" x14ac:dyDescent="0.2">
      <c r="A64" s="103" t="s">
        <v>30</v>
      </c>
      <c r="B64" s="104"/>
      <c r="C64" s="428">
        <v>117.50589516633654</v>
      </c>
      <c r="D64" s="428">
        <v>113.94389932676758</v>
      </c>
      <c r="E64" s="428">
        <v>102.43595953877183</v>
      </c>
      <c r="F64" s="428">
        <v>293.16972212906023</v>
      </c>
      <c r="G64" s="428">
        <v>167.39182212600525</v>
      </c>
      <c r="H64" s="428">
        <v>138.04407459249589</v>
      </c>
      <c r="I64" s="428">
        <v>95.812696974625382</v>
      </c>
      <c r="J64" s="429">
        <v>25.190338660599075</v>
      </c>
      <c r="L64" s="352"/>
      <c r="M64" s="352"/>
      <c r="N64" s="352"/>
      <c r="O64" s="352"/>
      <c r="P64" s="352"/>
      <c r="Q64" s="352"/>
      <c r="R64" s="352"/>
      <c r="S64" s="352"/>
    </row>
    <row r="65" spans="1:19" ht="15" customHeight="1" collapsed="1" x14ac:dyDescent="0.2">
      <c r="A65" s="105">
        <v>1993</v>
      </c>
      <c r="B65" s="93"/>
      <c r="C65" s="420"/>
      <c r="D65" s="420"/>
      <c r="E65" s="420"/>
      <c r="F65" s="420"/>
      <c r="G65" s="420"/>
      <c r="H65" s="420"/>
      <c r="I65" s="420"/>
      <c r="J65" s="423"/>
      <c r="L65"/>
      <c r="M65"/>
      <c r="N65"/>
      <c r="O65"/>
      <c r="P65"/>
      <c r="Q65"/>
      <c r="R65"/>
      <c r="S65"/>
    </row>
    <row r="66" spans="1:19" ht="12.75" customHeight="1" x14ac:dyDescent="0.2">
      <c r="A66" s="97" t="s">
        <v>27</v>
      </c>
      <c r="B66" s="95"/>
      <c r="C66" s="428">
        <v>95.27528217679631</v>
      </c>
      <c r="D66" s="428">
        <v>79.502539259097389</v>
      </c>
      <c r="E66" s="428">
        <v>167.74432376941647</v>
      </c>
      <c r="F66" s="428">
        <v>290.50182764060139</v>
      </c>
      <c r="G66" s="428">
        <v>104.10996840448495</v>
      </c>
      <c r="H66" s="428">
        <v>279.03820225155459</v>
      </c>
      <c r="I66" s="428">
        <v>174.87948480180384</v>
      </c>
      <c r="J66" s="429">
        <v>181.72835788060345</v>
      </c>
      <c r="L66" s="352"/>
      <c r="M66" s="352"/>
      <c r="N66" s="352"/>
      <c r="O66" s="352"/>
      <c r="P66" s="352"/>
      <c r="Q66" s="352"/>
      <c r="R66" s="352"/>
      <c r="S66" s="352"/>
    </row>
    <row r="67" spans="1:19" ht="12.75" customHeight="1" x14ac:dyDescent="0.2">
      <c r="A67" s="101" t="s">
        <v>28</v>
      </c>
      <c r="B67" s="95"/>
      <c r="C67" s="428">
        <v>105.81158634718082</v>
      </c>
      <c r="D67" s="428">
        <v>90.552722842844105</v>
      </c>
      <c r="E67" s="428">
        <v>113.78724397834733</v>
      </c>
      <c r="F67" s="428">
        <v>265.34603467180176</v>
      </c>
      <c r="G67" s="428">
        <v>119.49914990773965</v>
      </c>
      <c r="H67" s="428">
        <v>150.35736581612309</v>
      </c>
      <c r="I67" s="428">
        <v>127.89296438840645</v>
      </c>
      <c r="J67" s="429">
        <v>155.50292768331889</v>
      </c>
      <c r="L67" s="352"/>
      <c r="M67" s="352"/>
      <c r="N67" s="352"/>
      <c r="O67" s="352"/>
      <c r="P67" s="352"/>
      <c r="Q67" s="352"/>
      <c r="R67" s="352"/>
      <c r="S67" s="352"/>
    </row>
    <row r="68" spans="1:19" ht="12.75" customHeight="1" x14ac:dyDescent="0.2">
      <c r="A68" s="101" t="s">
        <v>29</v>
      </c>
      <c r="B68" s="95"/>
      <c r="C68" s="428">
        <v>147.81854788532513</v>
      </c>
      <c r="D68" s="428">
        <v>115.5573304471087</v>
      </c>
      <c r="E68" s="428">
        <v>177.5717311184525</v>
      </c>
      <c r="F68" s="428">
        <v>270.66788410968445</v>
      </c>
      <c r="G68" s="428">
        <v>210.7513501223138</v>
      </c>
      <c r="H68" s="428">
        <v>186.8560154979136</v>
      </c>
      <c r="I68" s="428">
        <v>149.31086027672347</v>
      </c>
      <c r="J68" s="429">
        <v>256.01443918124835</v>
      </c>
      <c r="L68" s="352"/>
      <c r="M68" s="352"/>
      <c r="N68" s="352"/>
      <c r="O68" s="352"/>
      <c r="P68" s="352"/>
      <c r="Q68" s="352"/>
      <c r="R68" s="352"/>
      <c r="S68" s="352"/>
    </row>
    <row r="69" spans="1:19" ht="12.75" customHeight="1" x14ac:dyDescent="0.2">
      <c r="A69" s="103" t="s">
        <v>30</v>
      </c>
      <c r="B69" s="98"/>
      <c r="C69" s="428">
        <v>143.15780913092306</v>
      </c>
      <c r="D69" s="428">
        <v>100.59578419214994</v>
      </c>
      <c r="E69" s="428">
        <v>225.78220252588315</v>
      </c>
      <c r="F69" s="428">
        <v>216.3220907844817</v>
      </c>
      <c r="G69" s="428">
        <v>168.49977742179587</v>
      </c>
      <c r="H69" s="428">
        <v>232.11091812222145</v>
      </c>
      <c r="I69" s="428">
        <v>123.14624461043897</v>
      </c>
      <c r="J69" s="429">
        <v>260.42485660786622</v>
      </c>
      <c r="L69" s="352"/>
      <c r="M69" s="352"/>
      <c r="N69" s="352"/>
      <c r="O69" s="352"/>
      <c r="P69" s="352"/>
      <c r="Q69" s="352"/>
      <c r="R69" s="352"/>
      <c r="S69" s="352"/>
    </row>
    <row r="70" spans="1:19" ht="15" customHeight="1" x14ac:dyDescent="0.2">
      <c r="A70" s="105">
        <v>1994</v>
      </c>
      <c r="B70" s="95"/>
      <c r="C70" s="420"/>
      <c r="D70" s="420"/>
      <c r="E70" s="420"/>
      <c r="F70" s="420"/>
      <c r="G70" s="420"/>
      <c r="H70" s="420"/>
      <c r="I70" s="420"/>
      <c r="J70" s="423"/>
      <c r="L70"/>
      <c r="M70"/>
      <c r="N70"/>
      <c r="O70"/>
      <c r="P70"/>
      <c r="Q70"/>
      <c r="R70"/>
      <c r="S70"/>
    </row>
    <row r="71" spans="1:19" ht="12.75" customHeight="1" x14ac:dyDescent="0.2">
      <c r="A71" s="97" t="s">
        <v>27</v>
      </c>
      <c r="B71" s="95"/>
      <c r="C71" s="428">
        <v>104.55778278400967</v>
      </c>
      <c r="D71" s="428">
        <v>85.473574228192618</v>
      </c>
      <c r="E71" s="428">
        <v>191.08354865554182</v>
      </c>
      <c r="F71" s="428">
        <v>158.19678787419596</v>
      </c>
      <c r="G71" s="428">
        <v>110.56452643735936</v>
      </c>
      <c r="H71" s="428">
        <v>196.27986187878108</v>
      </c>
      <c r="I71" s="428">
        <v>131.02353442051958</v>
      </c>
      <c r="J71" s="429">
        <v>16.376980197849029</v>
      </c>
      <c r="L71" s="352"/>
      <c r="M71" s="352"/>
      <c r="N71" s="352"/>
      <c r="O71" s="352"/>
      <c r="P71" s="352"/>
      <c r="Q71" s="352"/>
      <c r="R71" s="352"/>
      <c r="S71" s="352"/>
    </row>
    <row r="72" spans="1:19" ht="12.75" customHeight="1" x14ac:dyDescent="0.2">
      <c r="A72" s="101" t="s">
        <v>28</v>
      </c>
      <c r="B72" s="95"/>
      <c r="C72" s="428">
        <v>127.87631216611202</v>
      </c>
      <c r="D72" s="428">
        <v>112.83645774263469</v>
      </c>
      <c r="E72" s="428">
        <v>184.15383091101396</v>
      </c>
      <c r="F72" s="428">
        <v>197.6248995208515</v>
      </c>
      <c r="G72" s="428">
        <v>149.7227962172575</v>
      </c>
      <c r="H72" s="428">
        <v>132.34954595387615</v>
      </c>
      <c r="I72" s="428">
        <v>157.35015171776209</v>
      </c>
      <c r="J72" s="429">
        <v>24.439619734546785</v>
      </c>
      <c r="L72" s="352"/>
      <c r="M72" s="352"/>
      <c r="N72" s="352"/>
      <c r="O72" s="352"/>
      <c r="P72" s="352"/>
      <c r="Q72" s="352"/>
      <c r="R72" s="352"/>
      <c r="S72" s="352"/>
    </row>
    <row r="73" spans="1:19" ht="12.75" customHeight="1" x14ac:dyDescent="0.2">
      <c r="A73" s="41" t="s">
        <v>29</v>
      </c>
      <c r="B73" s="95"/>
      <c r="C73" s="428">
        <v>148.3703014164208</v>
      </c>
      <c r="D73" s="428">
        <v>136.16534404645279</v>
      </c>
      <c r="E73" s="428">
        <v>153.44532504112053</v>
      </c>
      <c r="F73" s="428">
        <v>209.91950316595012</v>
      </c>
      <c r="G73" s="428">
        <v>283.32159899573338</v>
      </c>
      <c r="H73" s="428">
        <v>149.75676383563837</v>
      </c>
      <c r="I73" s="428">
        <v>121.31124467961618</v>
      </c>
      <c r="J73" s="429">
        <v>31.785568890657213</v>
      </c>
      <c r="L73" s="352"/>
      <c r="M73" s="352"/>
      <c r="N73" s="352"/>
      <c r="O73" s="352"/>
      <c r="P73" s="352"/>
      <c r="Q73" s="352"/>
      <c r="R73" s="352"/>
      <c r="S73" s="352"/>
    </row>
    <row r="74" spans="1:19" ht="12.75" customHeight="1" x14ac:dyDescent="0.2">
      <c r="A74" s="46" t="s">
        <v>30</v>
      </c>
      <c r="B74" s="98"/>
      <c r="C74" s="428">
        <v>128.74731631307679</v>
      </c>
      <c r="D74" s="428">
        <v>121.64644886622533</v>
      </c>
      <c r="E74" s="428">
        <v>177.74402518473934</v>
      </c>
      <c r="F74" s="428">
        <v>193.7620160476946</v>
      </c>
      <c r="G74" s="428">
        <v>147.41936858314583</v>
      </c>
      <c r="H74" s="428">
        <v>210.71236256038338</v>
      </c>
      <c r="I74" s="428">
        <v>79.878126422997525</v>
      </c>
      <c r="J74" s="429">
        <v>57.465442323151215</v>
      </c>
      <c r="L74" s="352"/>
      <c r="M74" s="352"/>
      <c r="N74" s="352"/>
      <c r="O74" s="352"/>
      <c r="P74" s="352"/>
      <c r="Q74" s="352"/>
      <c r="R74" s="352"/>
      <c r="S74" s="352"/>
    </row>
    <row r="75" spans="1:19" ht="15" customHeight="1" x14ac:dyDescent="0.2">
      <c r="A75" s="105">
        <v>1995</v>
      </c>
      <c r="B75" s="95"/>
      <c r="C75" s="420"/>
      <c r="D75" s="420"/>
      <c r="E75" s="420"/>
      <c r="F75" s="420"/>
      <c r="G75" s="420"/>
      <c r="H75" s="420"/>
      <c r="I75" s="420"/>
      <c r="J75" s="423"/>
      <c r="L75"/>
      <c r="M75"/>
      <c r="N75"/>
      <c r="O75"/>
      <c r="P75"/>
      <c r="Q75"/>
      <c r="R75"/>
      <c r="S75"/>
    </row>
    <row r="76" spans="1:19" ht="12.75" customHeight="1" x14ac:dyDescent="0.2">
      <c r="A76" s="300" t="s">
        <v>27</v>
      </c>
      <c r="B76" s="98"/>
      <c r="C76" s="428">
        <v>122.54501211021822</v>
      </c>
      <c r="D76" s="428">
        <v>126.85202679133121</v>
      </c>
      <c r="E76" s="428">
        <v>189.37552885640642</v>
      </c>
      <c r="F76" s="428">
        <v>171.34254203281793</v>
      </c>
      <c r="G76" s="428">
        <v>126.68851987614096</v>
      </c>
      <c r="H76" s="428">
        <v>99.588538368788704</v>
      </c>
      <c r="I76" s="428">
        <v>132.74354734944041</v>
      </c>
      <c r="J76" s="429">
        <v>16.033209613107356</v>
      </c>
      <c r="L76" s="352"/>
      <c r="M76" s="352"/>
      <c r="N76" s="352"/>
      <c r="O76" s="352"/>
      <c r="P76" s="352"/>
      <c r="Q76" s="352"/>
      <c r="R76" s="352"/>
      <c r="S76" s="352"/>
    </row>
    <row r="77" spans="1:19" ht="12.75" customHeight="1" x14ac:dyDescent="0.2">
      <c r="A77" s="300" t="s">
        <v>28</v>
      </c>
      <c r="B77" s="98"/>
      <c r="C77" s="428">
        <v>115.81849604596222</v>
      </c>
      <c r="D77" s="428">
        <v>104.96500606490777</v>
      </c>
      <c r="E77" s="428">
        <v>141.56482672826596</v>
      </c>
      <c r="F77" s="428">
        <v>138.35058915062183</v>
      </c>
      <c r="G77" s="428">
        <v>131.29537514436424</v>
      </c>
      <c r="H77" s="428">
        <v>131.46696361388788</v>
      </c>
      <c r="I77" s="428">
        <v>184.36213252294101</v>
      </c>
      <c r="J77" s="429">
        <v>11.694904871470825</v>
      </c>
      <c r="L77" s="352"/>
      <c r="M77" s="352"/>
      <c r="N77" s="352"/>
      <c r="O77" s="352"/>
      <c r="P77" s="352"/>
      <c r="Q77" s="352"/>
      <c r="R77" s="352"/>
      <c r="S77" s="352"/>
    </row>
    <row r="78" spans="1:19" ht="12.75" customHeight="1" x14ac:dyDescent="0.2">
      <c r="A78" s="300" t="s">
        <v>29</v>
      </c>
      <c r="B78" s="98"/>
      <c r="C78" s="428">
        <v>121.60375245355239</v>
      </c>
      <c r="D78" s="428">
        <v>101.54367794422083</v>
      </c>
      <c r="E78" s="428">
        <v>149.67089350623121</v>
      </c>
      <c r="F78" s="428">
        <v>150.79496972419449</v>
      </c>
      <c r="G78" s="428">
        <v>191.18449363126726</v>
      </c>
      <c r="H78" s="428">
        <v>130.64462810765772</v>
      </c>
      <c r="I78" s="428">
        <v>137.03384834342614</v>
      </c>
      <c r="J78" s="429">
        <v>16.069010527611596</v>
      </c>
      <c r="L78" s="352"/>
      <c r="M78" s="352"/>
      <c r="N78" s="352"/>
      <c r="O78" s="352"/>
      <c r="P78" s="352"/>
      <c r="Q78" s="352"/>
      <c r="R78" s="352"/>
      <c r="S78" s="352"/>
    </row>
    <row r="79" spans="1:19" s="349" customFormat="1" ht="12.75" customHeight="1" x14ac:dyDescent="0.2">
      <c r="A79" s="300" t="s">
        <v>30</v>
      </c>
      <c r="B79" s="348"/>
      <c r="C79" s="431">
        <v>139.32841811290612</v>
      </c>
      <c r="D79" s="431">
        <v>115.90935016402409</v>
      </c>
      <c r="E79" s="431">
        <v>167.99208975778501</v>
      </c>
      <c r="F79" s="431">
        <v>152.62574672884631</v>
      </c>
      <c r="G79" s="431">
        <v>184.27421072893233</v>
      </c>
      <c r="H79" s="431">
        <v>215.68554969377138</v>
      </c>
      <c r="I79" s="431">
        <v>147.87675634385823</v>
      </c>
      <c r="J79" s="432">
        <v>21.029413380243682</v>
      </c>
      <c r="L79" s="354"/>
      <c r="M79" s="354"/>
      <c r="N79" s="354"/>
      <c r="O79" s="354"/>
      <c r="P79" s="354"/>
      <c r="Q79" s="354"/>
      <c r="R79" s="354"/>
      <c r="S79" s="354"/>
    </row>
    <row r="80" spans="1:19" ht="15" customHeight="1" x14ac:dyDescent="0.2">
      <c r="A80" s="105">
        <v>1996</v>
      </c>
      <c r="B80" s="95"/>
      <c r="C80" s="420"/>
      <c r="D80" s="420"/>
      <c r="E80" s="420"/>
      <c r="F80" s="420"/>
      <c r="G80" s="420"/>
      <c r="H80" s="420"/>
      <c r="I80" s="420"/>
      <c r="J80" s="423"/>
      <c r="L80"/>
      <c r="M80"/>
      <c r="N80"/>
      <c r="O80"/>
      <c r="P80"/>
      <c r="Q80"/>
      <c r="R80"/>
      <c r="S80"/>
    </row>
    <row r="81" spans="1:19" ht="12.75" customHeight="1" x14ac:dyDescent="0.2">
      <c r="A81" s="300" t="s">
        <v>27</v>
      </c>
      <c r="B81" s="98"/>
      <c r="C81" s="428">
        <v>128.3984806920011</v>
      </c>
      <c r="D81" s="428">
        <v>114.99312997770414</v>
      </c>
      <c r="E81" s="428">
        <v>190.22107797059027</v>
      </c>
      <c r="F81" s="428">
        <v>112.67758590417205</v>
      </c>
      <c r="G81" s="428">
        <v>140.51141681454266</v>
      </c>
      <c r="H81" s="428">
        <v>146.84479686056122</v>
      </c>
      <c r="I81" s="428">
        <v>195.64354940080196</v>
      </c>
      <c r="J81" s="429">
        <v>19.768332460791019</v>
      </c>
      <c r="L81" s="352"/>
      <c r="M81" s="352"/>
      <c r="N81" s="352"/>
      <c r="O81" s="352"/>
      <c r="P81" s="352"/>
      <c r="Q81" s="352"/>
      <c r="R81" s="352"/>
      <c r="S81" s="352"/>
    </row>
    <row r="82" spans="1:19" s="349" customFormat="1" ht="12.75" customHeight="1" x14ac:dyDescent="0.2">
      <c r="A82" s="300" t="s">
        <v>28</v>
      </c>
      <c r="B82" s="348"/>
      <c r="C82" s="431">
        <v>120.16120021810129</v>
      </c>
      <c r="D82" s="431">
        <v>101.24815812853281</v>
      </c>
      <c r="E82" s="431">
        <v>121.57654189994862</v>
      </c>
      <c r="F82" s="431">
        <v>110.20882409730453</v>
      </c>
      <c r="G82" s="431">
        <v>158.93650675370409</v>
      </c>
      <c r="H82" s="431">
        <v>188.79338780187524</v>
      </c>
      <c r="I82" s="431">
        <v>219.89024660037919</v>
      </c>
      <c r="J82" s="432">
        <v>13.996242905295517</v>
      </c>
      <c r="L82" s="354"/>
      <c r="M82" s="354"/>
      <c r="N82" s="354"/>
      <c r="O82" s="354"/>
      <c r="P82" s="354"/>
      <c r="Q82" s="354"/>
      <c r="R82" s="354"/>
      <c r="S82" s="354"/>
    </row>
    <row r="83" spans="1:19" s="349" customFormat="1" ht="12.75" customHeight="1" x14ac:dyDescent="0.2">
      <c r="A83" s="300" t="s">
        <v>29</v>
      </c>
      <c r="B83" s="348"/>
      <c r="C83" s="431">
        <v>139.19496668909846</v>
      </c>
      <c r="D83" s="431">
        <v>127.41330782454834</v>
      </c>
      <c r="E83" s="431">
        <v>129.69396117321847</v>
      </c>
      <c r="F83" s="431">
        <v>112.1290607555095</v>
      </c>
      <c r="G83" s="431">
        <v>225.73590814294207</v>
      </c>
      <c r="H83" s="431">
        <v>129.16658936905671</v>
      </c>
      <c r="I83" s="431">
        <v>162.08158759502146</v>
      </c>
      <c r="J83" s="432">
        <v>17.870086192086251</v>
      </c>
      <c r="L83" s="354"/>
      <c r="M83" s="354"/>
      <c r="N83" s="354"/>
      <c r="O83" s="354"/>
      <c r="P83" s="354"/>
      <c r="Q83" s="354"/>
      <c r="R83" s="354"/>
      <c r="S83" s="354"/>
    </row>
    <row r="84" spans="1:19" s="349" customFormat="1" ht="12.9" customHeight="1" x14ac:dyDescent="0.2">
      <c r="A84" s="300" t="s">
        <v>30</v>
      </c>
      <c r="B84" s="348"/>
      <c r="C84" s="431">
        <v>114.86341576187824</v>
      </c>
      <c r="D84" s="431">
        <v>100.7065791794644</v>
      </c>
      <c r="E84" s="431">
        <v>161.93504001771473</v>
      </c>
      <c r="F84" s="431">
        <v>104.65641543305402</v>
      </c>
      <c r="G84" s="431">
        <v>124.38509224202932</v>
      </c>
      <c r="H84" s="431">
        <v>211.99852042853621</v>
      </c>
      <c r="I84" s="431">
        <v>122.15300782279215</v>
      </c>
      <c r="J84" s="432">
        <v>18.902536124550746</v>
      </c>
      <c r="L84" s="354"/>
      <c r="M84" s="354"/>
      <c r="N84" s="354"/>
      <c r="O84" s="354"/>
      <c r="P84" s="354"/>
      <c r="Q84" s="354"/>
      <c r="R84" s="354"/>
      <c r="S84" s="354"/>
    </row>
    <row r="85" spans="1:19" s="349" customFormat="1" ht="14.1" customHeight="1" x14ac:dyDescent="0.2">
      <c r="A85" s="105">
        <v>1997</v>
      </c>
      <c r="B85" s="348"/>
      <c r="C85" s="431"/>
      <c r="D85" s="431"/>
      <c r="E85" s="431"/>
      <c r="F85" s="431"/>
      <c r="G85" s="431"/>
      <c r="H85" s="431"/>
      <c r="I85" s="431"/>
      <c r="J85" s="432"/>
      <c r="L85" s="354"/>
      <c r="M85" s="354"/>
      <c r="N85" s="354"/>
      <c r="O85" s="354"/>
      <c r="P85" s="354"/>
      <c r="Q85" s="354"/>
      <c r="R85" s="354"/>
      <c r="S85" s="354"/>
    </row>
    <row r="86" spans="1:19" s="349" customFormat="1" ht="12.9" customHeight="1" x14ac:dyDescent="0.2">
      <c r="A86" s="300" t="s">
        <v>27</v>
      </c>
      <c r="B86" s="348"/>
      <c r="C86" s="431">
        <v>96.359990306747449</v>
      </c>
      <c r="D86" s="431">
        <v>90.054999140059678</v>
      </c>
      <c r="E86" s="431">
        <v>140.68458453492929</v>
      </c>
      <c r="F86" s="431">
        <v>83.870626018585313</v>
      </c>
      <c r="G86" s="431">
        <v>124.38509224202932</v>
      </c>
      <c r="H86" s="431">
        <v>123.89198736072737</v>
      </c>
      <c r="I86" s="431">
        <v>205.54307567037316</v>
      </c>
      <c r="J86" s="432">
        <v>13.715063108413608</v>
      </c>
      <c r="L86" s="354"/>
      <c r="M86" s="354"/>
      <c r="N86" s="354"/>
      <c r="O86" s="354"/>
      <c r="P86" s="354"/>
      <c r="Q86" s="354"/>
      <c r="R86" s="354"/>
      <c r="S86" s="354"/>
    </row>
    <row r="87" spans="1:19" s="349" customFormat="1" ht="12.9" customHeight="1" x14ac:dyDescent="0.2">
      <c r="A87" s="300" t="s">
        <v>28</v>
      </c>
      <c r="B87" s="348"/>
      <c r="C87" s="431">
        <v>136.54628723874484</v>
      </c>
      <c r="D87" s="431">
        <v>118.7542682224437</v>
      </c>
      <c r="E87" s="431">
        <v>115.56432142972209</v>
      </c>
      <c r="F87" s="431">
        <v>100.36985086347232</v>
      </c>
      <c r="G87" s="431">
        <v>232.64619104527702</v>
      </c>
      <c r="H87" s="431">
        <v>193.80419656771821</v>
      </c>
      <c r="I87" s="431">
        <v>226.72595711042908</v>
      </c>
      <c r="J87" s="432">
        <v>15.167753676243914</v>
      </c>
      <c r="L87" s="354"/>
      <c r="M87" s="354"/>
      <c r="N87" s="354"/>
      <c r="O87" s="354"/>
      <c r="P87" s="354"/>
      <c r="Q87" s="354"/>
      <c r="R87" s="354"/>
      <c r="S87" s="354"/>
    </row>
    <row r="88" spans="1:19" s="349" customFormat="1" ht="12.9" customHeight="1" x14ac:dyDescent="0.2">
      <c r="A88" s="300" t="s">
        <v>29</v>
      </c>
      <c r="B88" s="348"/>
      <c r="C88" s="431">
        <v>164.71044693574132</v>
      </c>
      <c r="D88" s="431">
        <v>121.07748365987196</v>
      </c>
      <c r="E88" s="431">
        <v>196.12373439423087</v>
      </c>
      <c r="F88" s="431">
        <v>96.774727355185476</v>
      </c>
      <c r="G88" s="431">
        <v>274.10788845928676</v>
      </c>
      <c r="H88" s="431">
        <v>355.78344982494792</v>
      </c>
      <c r="I88" s="431">
        <v>155.21449385268906</v>
      </c>
      <c r="J88" s="432">
        <v>32.651729866006065</v>
      </c>
      <c r="L88" s="354"/>
      <c r="M88" s="354"/>
      <c r="N88" s="354"/>
      <c r="O88" s="354"/>
      <c r="P88" s="354"/>
      <c r="Q88" s="354"/>
      <c r="R88" s="354"/>
      <c r="S88" s="354"/>
    </row>
    <row r="89" spans="1:19" s="349" customFormat="1" ht="12.9" customHeight="1" x14ac:dyDescent="0.2">
      <c r="A89" s="300" t="s">
        <v>30</v>
      </c>
      <c r="B89" s="348"/>
      <c r="C89" s="431">
        <v>134.56604865840785</v>
      </c>
      <c r="D89" s="431">
        <v>138.43032439829065</v>
      </c>
      <c r="E89" s="431">
        <v>148.21563289203615</v>
      </c>
      <c r="F89" s="431">
        <v>168.67569340400323</v>
      </c>
      <c r="G89" s="431">
        <v>149.7227962172575</v>
      </c>
      <c r="H89" s="431">
        <v>248.87924705353007</v>
      </c>
      <c r="I89" s="431">
        <v>106.6818661146217</v>
      </c>
      <c r="J89" s="432">
        <v>44.671891626624429</v>
      </c>
      <c r="L89" s="354"/>
      <c r="M89" s="354"/>
      <c r="N89" s="354"/>
      <c r="O89" s="354"/>
      <c r="P89" s="354"/>
      <c r="Q89" s="354"/>
      <c r="R89" s="354"/>
      <c r="S89" s="354"/>
    </row>
    <row r="90" spans="1:19" s="349" customFormat="1" ht="12.9" customHeight="1" x14ac:dyDescent="0.2">
      <c r="A90" s="105">
        <v>1998</v>
      </c>
      <c r="B90" s="348"/>
      <c r="C90" s="431"/>
      <c r="D90" s="431"/>
      <c r="E90" s="431"/>
      <c r="F90" s="431"/>
      <c r="G90" s="431"/>
      <c r="H90" s="431"/>
      <c r="I90" s="431"/>
      <c r="J90" s="432"/>
      <c r="L90" s="354"/>
      <c r="M90" s="354"/>
      <c r="N90" s="354"/>
      <c r="O90" s="354"/>
      <c r="P90" s="354"/>
      <c r="Q90" s="354"/>
      <c r="R90" s="354"/>
      <c r="S90" s="354"/>
    </row>
    <row r="91" spans="1:19" s="349" customFormat="1" x14ac:dyDescent="0.2">
      <c r="A91" s="300" t="s">
        <v>27</v>
      </c>
      <c r="B91" s="348"/>
      <c r="C91" s="431">
        <v>140.12653413846266</v>
      </c>
      <c r="D91" s="431">
        <v>123.35729902612249</v>
      </c>
      <c r="E91" s="431">
        <v>172.95571131910441</v>
      </c>
      <c r="F91" s="431">
        <v>210.04199166092729</v>
      </c>
      <c r="G91" s="431">
        <v>244.16332921583529</v>
      </c>
      <c r="H91" s="431">
        <v>202.3881389645401</v>
      </c>
      <c r="I91" s="431">
        <v>198.14636400640708</v>
      </c>
      <c r="J91" s="432">
        <v>44.680969530696942</v>
      </c>
      <c r="L91" s="354"/>
      <c r="M91" s="354"/>
      <c r="N91" s="354"/>
      <c r="O91" s="354"/>
      <c r="P91" s="354"/>
      <c r="Q91" s="354"/>
      <c r="R91" s="354"/>
      <c r="S91" s="354"/>
    </row>
    <row r="92" spans="1:19" s="349" customFormat="1" x14ac:dyDescent="0.2">
      <c r="A92" s="300" t="s">
        <v>28</v>
      </c>
      <c r="B92" s="348"/>
      <c r="C92" s="431">
        <v>139.04246105094782</v>
      </c>
      <c r="D92" s="431">
        <v>120.42263564351413</v>
      </c>
      <c r="E92" s="431">
        <v>168.08504200467519</v>
      </c>
      <c r="F92" s="431">
        <v>177.94802011852084</v>
      </c>
      <c r="G92" s="431">
        <v>149.7227962172575</v>
      </c>
      <c r="H92" s="431">
        <v>212.4820731597859</v>
      </c>
      <c r="I92" s="431">
        <v>208.23967487248561</v>
      </c>
      <c r="J92" s="432">
        <v>24.587389359582925</v>
      </c>
      <c r="L92" s="354"/>
      <c r="M92" s="354"/>
      <c r="N92" s="354"/>
      <c r="O92" s="354"/>
      <c r="P92" s="354"/>
      <c r="Q92" s="354"/>
      <c r="R92" s="354"/>
      <c r="S92" s="354"/>
    </row>
    <row r="93" spans="1:19" s="349" customFormat="1" x14ac:dyDescent="0.2">
      <c r="A93" s="300" t="s">
        <v>29</v>
      </c>
      <c r="B93" s="348"/>
      <c r="C93" s="431">
        <v>163.39520484463634</v>
      </c>
      <c r="D93" s="431">
        <v>136.26211029859579</v>
      </c>
      <c r="E93" s="431">
        <v>138.95205710158464</v>
      </c>
      <c r="F93" s="431">
        <v>249.98402764583659</v>
      </c>
      <c r="G93" s="431">
        <v>262.59075028872849</v>
      </c>
      <c r="H93" s="431">
        <v>287.18172721674222</v>
      </c>
      <c r="I93" s="431">
        <v>194.22211176792808</v>
      </c>
      <c r="J93" s="432">
        <v>20.626321938937274</v>
      </c>
      <c r="L93" s="354"/>
      <c r="M93" s="354"/>
      <c r="N93" s="354"/>
      <c r="O93" s="354"/>
      <c r="P93" s="354"/>
      <c r="Q93" s="354"/>
      <c r="R93" s="354"/>
      <c r="S93" s="354"/>
    </row>
    <row r="94" spans="1:19" s="349" customFormat="1" ht="12.9" customHeight="1" x14ac:dyDescent="0.2">
      <c r="A94" s="300" t="s">
        <v>30</v>
      </c>
      <c r="B94" s="348"/>
      <c r="C94" s="431">
        <v>187.68072920712331</v>
      </c>
      <c r="D94" s="431">
        <v>174.24326158111205</v>
      </c>
      <c r="E94" s="431">
        <v>168.53146031575196</v>
      </c>
      <c r="F94" s="431">
        <v>257.31999593287162</v>
      </c>
      <c r="G94" s="431">
        <v>188.88106599715559</v>
      </c>
      <c r="H94" s="431">
        <v>247.711638208626</v>
      </c>
      <c r="I94" s="431">
        <v>232.83181954122324</v>
      </c>
      <c r="J94" s="432">
        <v>26.654490017841759</v>
      </c>
      <c r="L94" s="354"/>
      <c r="M94" s="354"/>
      <c r="N94" s="354"/>
      <c r="O94" s="354"/>
      <c r="P94" s="354"/>
      <c r="Q94" s="354"/>
      <c r="R94" s="354"/>
      <c r="S94" s="354"/>
    </row>
    <row r="95" spans="1:19" s="349" customFormat="1" ht="12.9" customHeight="1" x14ac:dyDescent="0.2">
      <c r="A95" s="105">
        <v>1999</v>
      </c>
      <c r="B95" s="348"/>
      <c r="C95" s="431"/>
      <c r="D95" s="431"/>
      <c r="E95" s="431"/>
      <c r="F95" s="431"/>
      <c r="G95" s="431"/>
      <c r="H95" s="431"/>
      <c r="I95" s="431"/>
      <c r="J95" s="432"/>
      <c r="L95" s="354"/>
      <c r="M95" s="354"/>
      <c r="N95" s="354"/>
      <c r="O95" s="354"/>
      <c r="P95" s="354"/>
      <c r="Q95" s="354"/>
      <c r="R95" s="354"/>
      <c r="S95" s="354"/>
    </row>
    <row r="96" spans="1:19" s="349" customFormat="1" ht="12.9" customHeight="1" x14ac:dyDescent="0.2">
      <c r="A96" s="300" t="s">
        <v>27</v>
      </c>
      <c r="B96" s="348"/>
      <c r="C96" s="431">
        <v>181.78523582077054</v>
      </c>
      <c r="D96" s="431">
        <v>177.25469623599292</v>
      </c>
      <c r="E96" s="431">
        <v>242.11429301998376</v>
      </c>
      <c r="F96" s="431">
        <v>263.46579125396977</v>
      </c>
      <c r="G96" s="431">
        <v>186.57763836304397</v>
      </c>
      <c r="H96" s="431">
        <v>342.64778286504117</v>
      </c>
      <c r="I96" s="431">
        <v>183.55088775264346</v>
      </c>
      <c r="J96" s="432">
        <v>70.547391040561081</v>
      </c>
      <c r="L96" s="354"/>
      <c r="M96" s="354"/>
      <c r="N96" s="354"/>
      <c r="O96" s="354"/>
      <c r="P96" s="354"/>
      <c r="Q96" s="354"/>
      <c r="R96" s="354"/>
      <c r="S96" s="354"/>
    </row>
    <row r="97" spans="1:24" s="349" customFormat="1" ht="12.9" customHeight="1" x14ac:dyDescent="0.2">
      <c r="A97" s="300" t="s">
        <v>28</v>
      </c>
      <c r="B97" s="348"/>
      <c r="C97" s="431">
        <v>133.17901511544039</v>
      </c>
      <c r="D97" s="431">
        <v>113.47502066483021</v>
      </c>
      <c r="E97" s="431">
        <v>135.07530177811532</v>
      </c>
      <c r="F97" s="431">
        <v>210.77263300317583</v>
      </c>
      <c r="G97" s="431">
        <v>180.43516467207954</v>
      </c>
      <c r="H97" s="431">
        <v>198.35988584312642</v>
      </c>
      <c r="I97" s="431">
        <v>218.28529286109796</v>
      </c>
      <c r="J97" s="432">
        <v>56.437912832448866</v>
      </c>
      <c r="L97" s="354"/>
      <c r="M97" s="354"/>
      <c r="N97" s="354"/>
      <c r="O97" s="354"/>
      <c r="P97" s="354"/>
      <c r="Q97" s="354"/>
      <c r="R97" s="354"/>
      <c r="S97" s="354"/>
    </row>
    <row r="98" spans="1:24" s="349" customFormat="1" ht="12.9" customHeight="1" x14ac:dyDescent="0.2">
      <c r="A98" s="300" t="s">
        <v>29</v>
      </c>
      <c r="B98" s="348"/>
      <c r="C98" s="431">
        <v>146.41505980749662</v>
      </c>
      <c r="D98" s="431">
        <v>128.25096726100537</v>
      </c>
      <c r="E98" s="431">
        <v>154.92325088967797</v>
      </c>
      <c r="F98" s="431">
        <v>152.96260525217718</v>
      </c>
      <c r="G98" s="431">
        <v>254.14484896365246</v>
      </c>
      <c r="H98" s="431">
        <v>257.37725547024894</v>
      </c>
      <c r="I98" s="431">
        <v>170.5060644052129</v>
      </c>
      <c r="J98" s="432">
        <v>23.716045999009861</v>
      </c>
      <c r="L98" s="354"/>
      <c r="M98" s="354"/>
      <c r="N98" s="354"/>
      <c r="O98" s="354"/>
      <c r="P98" s="354"/>
      <c r="Q98" s="354"/>
      <c r="R98" s="354"/>
      <c r="S98" s="354"/>
    </row>
    <row r="99" spans="1:24" s="349" customFormat="1" x14ac:dyDescent="0.2">
      <c r="A99" s="300" t="s">
        <v>30</v>
      </c>
      <c r="B99" s="348"/>
      <c r="C99" s="431">
        <v>142.53743639413045</v>
      </c>
      <c r="D99" s="431">
        <v>134.81258717749364</v>
      </c>
      <c r="E99" s="431">
        <v>161.85286127760395</v>
      </c>
      <c r="F99" s="431">
        <v>186.7939986616033</v>
      </c>
      <c r="G99" s="431">
        <v>154.32965148548078</v>
      </c>
      <c r="H99" s="431">
        <v>232.6012386864225</v>
      </c>
      <c r="I99" s="431">
        <v>151.75182437300438</v>
      </c>
      <c r="J99" s="432">
        <v>27.705640485680544</v>
      </c>
      <c r="L99" s="354"/>
      <c r="M99" s="354"/>
      <c r="N99" s="354"/>
      <c r="O99" s="354"/>
      <c r="P99" s="354"/>
      <c r="Q99" s="354"/>
      <c r="R99" s="354"/>
      <c r="S99" s="354"/>
    </row>
    <row r="100" spans="1:24" s="349" customFormat="1" ht="15" customHeight="1" x14ac:dyDescent="0.2">
      <c r="A100" s="105">
        <v>2000</v>
      </c>
      <c r="B100" s="348"/>
      <c r="C100" s="431"/>
      <c r="D100" s="431"/>
      <c r="E100" s="431"/>
      <c r="F100" s="431"/>
      <c r="G100" s="431"/>
      <c r="H100" s="431"/>
      <c r="I100" s="431"/>
      <c r="J100" s="432"/>
      <c r="L100" s="354"/>
      <c r="M100" s="354"/>
      <c r="N100" s="354"/>
      <c r="O100" s="354"/>
      <c r="P100" s="354"/>
      <c r="Q100" s="354"/>
      <c r="R100" s="354"/>
      <c r="S100" s="354"/>
    </row>
    <row r="101" spans="1:24" s="349" customFormat="1" x14ac:dyDescent="0.2">
      <c r="A101" s="300" t="s">
        <v>27</v>
      </c>
      <c r="B101" s="348"/>
      <c r="C101" s="431">
        <v>142.73432996659062</v>
      </c>
      <c r="D101" s="431">
        <v>130.22233146739174</v>
      </c>
      <c r="E101" s="431">
        <v>185.25152962467249</v>
      </c>
      <c r="F101" s="431">
        <v>146.95630883975633</v>
      </c>
      <c r="G101" s="431">
        <v>185.04201994030285</v>
      </c>
      <c r="H101" s="431">
        <v>222.97596973010289</v>
      </c>
      <c r="I101" s="431">
        <v>195.74677580980787</v>
      </c>
      <c r="J101" s="432">
        <v>29.198016319555268</v>
      </c>
      <c r="L101" s="354"/>
      <c r="M101" s="354"/>
      <c r="N101" s="354"/>
      <c r="O101" s="354"/>
      <c r="P101" s="354"/>
      <c r="Q101" s="354"/>
      <c r="R101" s="354"/>
      <c r="S101" s="354"/>
    </row>
    <row r="102" spans="1:24" s="349" customFormat="1" x14ac:dyDescent="0.2">
      <c r="A102" s="300" t="s">
        <v>28</v>
      </c>
      <c r="B102" s="348"/>
      <c r="C102" s="476">
        <v>128.49534104117879</v>
      </c>
      <c r="D102" s="476">
        <v>117.55064151026271</v>
      </c>
      <c r="E102" s="431">
        <v>139.57488840417085</v>
      </c>
      <c r="F102" s="431">
        <v>139.15893549099658</v>
      </c>
      <c r="G102" s="431">
        <v>187.60138397820469</v>
      </c>
      <c r="H102" s="431">
        <v>201.54871852354347</v>
      </c>
      <c r="I102" s="431">
        <v>217.75030828133751</v>
      </c>
      <c r="J102" s="432">
        <v>19.87757151791342</v>
      </c>
      <c r="L102" s="354"/>
      <c r="M102" s="354"/>
      <c r="N102" s="354"/>
      <c r="O102" s="354"/>
      <c r="P102" s="354"/>
      <c r="Q102" s="354"/>
      <c r="R102" s="354"/>
      <c r="S102" s="354"/>
    </row>
    <row r="103" spans="1:24" s="349" customFormat="1" x14ac:dyDescent="0.2">
      <c r="A103" s="300" t="s">
        <v>29</v>
      </c>
      <c r="B103" s="348"/>
      <c r="C103" s="476">
        <v>102.61148026102032</v>
      </c>
      <c r="D103" s="476">
        <v>143.78385524995724</v>
      </c>
      <c r="E103" s="431">
        <v>206.80795063315256</v>
      </c>
      <c r="F103" s="431">
        <v>277.5147257387485</v>
      </c>
      <c r="G103" s="431">
        <v>209.61191470416054</v>
      </c>
      <c r="H103" s="431">
        <v>366.32264016338718</v>
      </c>
      <c r="I103" s="431">
        <v>168.64894856576151</v>
      </c>
      <c r="J103" s="444">
        <v>42.350901946324079</v>
      </c>
      <c r="L103" s="354"/>
      <c r="M103" s="354"/>
      <c r="N103" s="354"/>
      <c r="O103" s="354"/>
      <c r="P103" s="354"/>
      <c r="Q103" s="354"/>
      <c r="R103" s="354"/>
      <c r="S103" s="354"/>
    </row>
    <row r="104" spans="1:24" s="91" customFormat="1" ht="15" customHeight="1" x14ac:dyDescent="0.2">
      <c r="A104" s="281" t="s">
        <v>50</v>
      </c>
      <c r="B104" s="282"/>
      <c r="C104" s="299"/>
      <c r="D104" s="283"/>
      <c r="E104" s="299"/>
      <c r="F104" s="299"/>
      <c r="G104" s="283"/>
      <c r="H104" s="283"/>
      <c r="I104" s="283"/>
      <c r="J104" s="94"/>
      <c r="K104" s="94"/>
    </row>
    <row r="105" spans="1:24" x14ac:dyDescent="0.2">
      <c r="A105" s="276" t="s">
        <v>35</v>
      </c>
      <c r="B105" s="232"/>
      <c r="C105" s="106"/>
    </row>
    <row r="106" spans="1:24" ht="12.75" customHeight="1" x14ac:dyDescent="0.2">
      <c r="A106"/>
      <c r="B106" s="233"/>
      <c r="C106" s="106"/>
    </row>
    <row r="107" spans="1:24" ht="15" customHeight="1" x14ac:dyDescent="0.2">
      <c r="A107" s="91"/>
      <c r="B107" s="106"/>
      <c r="C107" s="233" t="s">
        <v>2</v>
      </c>
    </row>
    <row r="109" spans="1:24" x14ac:dyDescent="0.2">
      <c r="D109" s="107"/>
      <c r="N109" s="107"/>
      <c r="X109" s="107"/>
    </row>
  </sheetData>
  <phoneticPr fontId="2" type="noConversion"/>
  <printOptions gridLinesSet="0"/>
  <pageMargins left="0.59055118110236204" right="1.19" top="0.59055118110236204" bottom="2.4409448818897599" header="0.5" footer="0.5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47" transitionEvaluation="1" codeName="Sheet6"/>
  <dimension ref="A1:AX59"/>
  <sheetViews>
    <sheetView showGridLines="0" showOutlineSymbols="0" zoomScaleNormal="100" workbookViewId="0">
      <pane xSplit="2" ySplit="6" topLeftCell="C47" activePane="bottomRight" state="frozen"/>
      <selection pane="topRight" activeCell="C1" sqref="C1"/>
      <selection pane="bottomLeft" activeCell="A10" sqref="A10"/>
      <selection pane="bottomRight" activeCell="C51" sqref="C51"/>
    </sheetView>
  </sheetViews>
  <sheetFormatPr defaultColWidth="14" defaultRowHeight="10.199999999999999" outlineLevelRow="1" x14ac:dyDescent="0.2"/>
  <cols>
    <col min="1" max="1" width="8" style="12" customWidth="1"/>
    <col min="2" max="2" width="5.33203125" style="12" customWidth="1"/>
    <col min="3" max="4" width="12" style="12" customWidth="1"/>
    <col min="5" max="6" width="13" style="12" customWidth="1"/>
    <col min="7" max="9" width="12" style="12" customWidth="1"/>
    <col min="10" max="10" width="14" style="12" customWidth="1"/>
    <col min="11" max="11" width="14" style="12"/>
    <col min="12" max="12" width="13" style="12" customWidth="1"/>
    <col min="13" max="16384" width="14" style="12"/>
  </cols>
  <sheetData>
    <row r="1" spans="1:50" ht="20.100000000000001" customHeight="1" x14ac:dyDescent="0.2">
      <c r="A1" s="485" t="s">
        <v>51</v>
      </c>
    </row>
    <row r="2" spans="1:50" ht="15" customHeight="1" x14ac:dyDescent="0.25">
      <c r="A2" s="13" t="s">
        <v>134</v>
      </c>
      <c r="B2" s="13"/>
      <c r="C2" s="14"/>
      <c r="D2" s="14"/>
      <c r="E2" s="14"/>
      <c r="F2" s="14"/>
      <c r="G2" s="14"/>
      <c r="H2" s="14"/>
      <c r="I2" s="14"/>
      <c r="J2" s="14"/>
    </row>
    <row r="3" spans="1:50" ht="18" customHeight="1" x14ac:dyDescent="0.2">
      <c r="A3" s="15"/>
      <c r="B3" s="15"/>
      <c r="C3" s="16"/>
      <c r="D3" s="16"/>
      <c r="E3" s="16"/>
      <c r="F3" s="16"/>
      <c r="G3" s="16"/>
      <c r="H3" s="16"/>
      <c r="I3" s="16"/>
      <c r="J3" s="16"/>
    </row>
    <row r="4" spans="1:50" ht="15" customHeight="1" x14ac:dyDescent="0.2">
      <c r="A4" s="15"/>
      <c r="B4" s="15"/>
      <c r="C4" s="16"/>
      <c r="D4" s="16"/>
      <c r="E4" s="16"/>
      <c r="F4" s="16"/>
      <c r="G4" s="16"/>
      <c r="H4" s="16"/>
      <c r="I4" s="16"/>
      <c r="J4" s="16"/>
    </row>
    <row r="5" spans="1:50" ht="15" customHeight="1" x14ac:dyDescent="0.2">
      <c r="A5" s="17" t="s">
        <v>6</v>
      </c>
      <c r="B5" s="18"/>
      <c r="C5" s="19" t="s">
        <v>39</v>
      </c>
      <c r="D5" s="19" t="s">
        <v>40</v>
      </c>
      <c r="E5" s="19" t="s">
        <v>41</v>
      </c>
      <c r="F5" s="19" t="s">
        <v>42</v>
      </c>
      <c r="G5" s="19" t="s">
        <v>43</v>
      </c>
      <c r="H5" s="19" t="s">
        <v>44</v>
      </c>
      <c r="I5" s="19" t="s">
        <v>45</v>
      </c>
      <c r="J5" s="20" t="s">
        <v>46</v>
      </c>
    </row>
    <row r="6" spans="1:50" ht="15" customHeight="1" x14ac:dyDescent="0.2">
      <c r="A6" s="21"/>
      <c r="B6" s="22"/>
      <c r="C6" s="23"/>
      <c r="D6" s="24" t="s">
        <v>47</v>
      </c>
      <c r="E6" s="23"/>
      <c r="F6" s="23"/>
      <c r="G6" s="23"/>
      <c r="H6" s="24" t="s">
        <v>48</v>
      </c>
      <c r="I6" s="23"/>
      <c r="J6" s="25"/>
    </row>
    <row r="7" spans="1:50" s="277" customFormat="1" ht="14.25" hidden="1" customHeight="1" outlineLevel="1" x14ac:dyDescent="0.2">
      <c r="A7" s="359" t="s">
        <v>25</v>
      </c>
      <c r="B7" s="37"/>
      <c r="C7" s="404">
        <f t="shared" ref="C7:C12" si="0">SUM(D7:J7)</f>
        <v>100.93600000000001</v>
      </c>
      <c r="D7" s="404">
        <f>[1]Bul_ann!$B$123/1000</f>
        <v>21.892600000000002</v>
      </c>
      <c r="E7" s="404">
        <f>[1]Bul_ann!$B$165/1000</f>
        <v>24.9236</v>
      </c>
      <c r="F7" s="404">
        <f>[1]Bul_ann!$B$129/1000</f>
        <v>31.436599999999999</v>
      </c>
      <c r="G7" s="404">
        <f>[1]Bul_ann!$B$146/1000</f>
        <v>0</v>
      </c>
      <c r="H7" s="404">
        <f>[1]Bul_ann!$B$144/1000</f>
        <v>14.1286</v>
      </c>
      <c r="I7" s="404">
        <f>[1]Bul_ann!$B$161/1000</f>
        <v>6.3593999999999999</v>
      </c>
      <c r="J7" s="484">
        <f>[1]Bul_ann!$B$135/1000</f>
        <v>2.1952000000000003</v>
      </c>
      <c r="L7" s="38"/>
      <c r="T7" s="360"/>
      <c r="AD7" s="360"/>
      <c r="AX7" s="360"/>
    </row>
    <row r="8" spans="1:50" s="277" customFormat="1" ht="14.25" hidden="1" customHeight="1" outlineLevel="1" x14ac:dyDescent="0.2">
      <c r="A8" s="359" t="s">
        <v>26</v>
      </c>
      <c r="B8" s="37"/>
      <c r="C8" s="404">
        <f t="shared" si="0"/>
        <v>127.32227999999999</v>
      </c>
      <c r="D8" s="404">
        <f>[1]Bul_ann!$C$123/1000</f>
        <v>17.811959999999999</v>
      </c>
      <c r="E8" s="404">
        <f>[1]Bul_ann!$C$165/1000</f>
        <v>43.427479999999996</v>
      </c>
      <c r="F8" s="404">
        <f>[1]Bul_ann!$C$129/1000</f>
        <v>39.221699999999998</v>
      </c>
      <c r="G8" s="404">
        <f>[1]Bul_ann!$C$146/1000</f>
        <v>0</v>
      </c>
      <c r="H8" s="404">
        <f>[1]Bul_ann!$C$144/1000</f>
        <v>15.446080000000002</v>
      </c>
      <c r="I8" s="404">
        <f>[1]Bul_ann!$C$161/1000</f>
        <v>10.065</v>
      </c>
      <c r="J8" s="407">
        <f>[1]Bul_ann!$C$135/1000</f>
        <v>1.35006</v>
      </c>
      <c r="L8" s="38"/>
      <c r="T8" s="360"/>
      <c r="AD8" s="360"/>
      <c r="AX8" s="360"/>
    </row>
    <row r="9" spans="1:50" ht="14.25" customHeight="1" collapsed="1" x14ac:dyDescent="0.2">
      <c r="A9" s="359" t="s">
        <v>111</v>
      </c>
      <c r="B9" s="37"/>
      <c r="C9" s="404">
        <f t="shared" si="0"/>
        <v>162.15120000000002</v>
      </c>
      <c r="D9" s="404">
        <f>[1]Bul_ann!$D$123/1000</f>
        <v>17.474199999999996</v>
      </c>
      <c r="E9" s="404">
        <f>[1]Bul_ann!$D$165/1000</f>
        <v>73.5565</v>
      </c>
      <c r="F9" s="404">
        <f>[1]Bul_ann!$D$129/1000</f>
        <v>44.2605</v>
      </c>
      <c r="G9" s="404">
        <f>[1]Bul_ann!$D$146/1000</f>
        <v>0</v>
      </c>
      <c r="H9" s="404">
        <f>[1]Bul_ann!$D$144/1000</f>
        <v>15.6998</v>
      </c>
      <c r="I9" s="404">
        <f>[1]Bul_ann!$D$161/1000</f>
        <v>9.4709000000000003</v>
      </c>
      <c r="J9" s="407">
        <f>[1]Bul_ann!$D$135/1000</f>
        <v>1.6893</v>
      </c>
      <c r="L9" s="38"/>
      <c r="T9" s="39"/>
      <c r="AD9" s="39"/>
      <c r="AX9" s="39"/>
    </row>
    <row r="10" spans="1:50" ht="14.25" customHeight="1" x14ac:dyDescent="0.2">
      <c r="A10" s="359" t="s">
        <v>121</v>
      </c>
      <c r="B10" s="37"/>
      <c r="C10" s="404">
        <f t="shared" si="0"/>
        <v>190.88209999999998</v>
      </c>
      <c r="D10" s="404">
        <f>[1]Bul_ann!$E$123/1000</f>
        <v>41.924099999999996</v>
      </c>
      <c r="E10" s="404">
        <f>[1]Bul_ann!$E$165/1000</f>
        <v>79.509500000000003</v>
      </c>
      <c r="F10" s="404">
        <f>[1]Bul_ann!$E$129/1000</f>
        <v>32.674700000000001</v>
      </c>
      <c r="G10" s="404">
        <f>[1]Bul_ann!$E$146/1000</f>
        <v>0</v>
      </c>
      <c r="H10" s="404">
        <f>[1]Bul_ann!$E$144/1000</f>
        <v>15.492199999999999</v>
      </c>
      <c r="I10" s="404">
        <f>[1]Bul_ann!$E$161/1000</f>
        <v>19.286399999999997</v>
      </c>
      <c r="J10" s="407">
        <f>[1]Bul_ann!$E$135/1000</f>
        <v>1.9952000000000001</v>
      </c>
      <c r="L10" s="38"/>
      <c r="T10" s="39"/>
      <c r="AD10" s="39"/>
      <c r="AX10" s="39"/>
    </row>
    <row r="11" spans="1:50" ht="14.25" customHeight="1" x14ac:dyDescent="0.2">
      <c r="A11" s="359" t="s">
        <v>122</v>
      </c>
      <c r="B11" s="37"/>
      <c r="C11" s="404">
        <f t="shared" si="0"/>
        <v>151.32230000000001</v>
      </c>
      <c r="D11" s="404">
        <f>[1]Bul_ann!$F$123/1000</f>
        <v>26.588900000000002</v>
      </c>
      <c r="E11" s="404">
        <f>[1]Bul_ann!$F$165/1000</f>
        <v>64.122900000000001</v>
      </c>
      <c r="F11" s="404">
        <f>[1]Bul_ann!$F$129/1000</f>
        <v>24.951799999999999</v>
      </c>
      <c r="G11" s="404">
        <f>[1]Bul_ann!$F$146/1000</f>
        <v>0</v>
      </c>
      <c r="H11" s="404">
        <f>[1]Bul_ann!$F$144/1000</f>
        <v>26.16</v>
      </c>
      <c r="I11" s="404">
        <f>[1]Bul_ann!$F$161/1000</f>
        <v>6.7577000000000007</v>
      </c>
      <c r="J11" s="407">
        <f>[1]Bul_ann!$F$135/1000</f>
        <v>2.7410000000000001</v>
      </c>
      <c r="L11" s="38"/>
      <c r="T11" s="39"/>
      <c r="AD11" s="39"/>
      <c r="AX11" s="39"/>
    </row>
    <row r="12" spans="1:50" ht="14.25" customHeight="1" x14ac:dyDescent="0.2">
      <c r="A12" s="359" t="s">
        <v>133</v>
      </c>
      <c r="B12" s="27"/>
      <c r="C12" s="404">
        <f t="shared" si="0"/>
        <v>60.472999999999992</v>
      </c>
      <c r="D12" s="404">
        <f>[1]Bul_ann!$G$123/1000</f>
        <v>19.211899999999996</v>
      </c>
      <c r="E12" s="404">
        <f>[1]Bul_ann!$G$165/1000</f>
        <v>22.281400000000001</v>
      </c>
      <c r="F12" s="404">
        <f>[1]Bul_ann!$G$129/1000</f>
        <v>7.1397999999999993</v>
      </c>
      <c r="G12" s="404">
        <f>[1]Bul_ann!$G$146/1000</f>
        <v>0</v>
      </c>
      <c r="H12" s="404">
        <f>[1]Bul_ann!$G$144/1000</f>
        <v>4.9558</v>
      </c>
      <c r="I12" s="404">
        <f>[1]Bul_ann!$G$161/1000</f>
        <v>4.9777000000000005</v>
      </c>
      <c r="J12" s="407">
        <f>[1]Bul_ann!$G$135/1000</f>
        <v>1.9064000000000001</v>
      </c>
      <c r="L12" s="34"/>
    </row>
    <row r="13" spans="1:50" ht="14.25" customHeight="1" x14ac:dyDescent="0.2">
      <c r="A13" s="359" t="s">
        <v>148</v>
      </c>
      <c r="B13" s="27"/>
      <c r="C13" s="404">
        <f>SUM(D13:J13)</f>
        <v>19.642800000000001</v>
      </c>
      <c r="D13" s="404">
        <f>[1]Bul_ann!$H$123/1000</f>
        <v>4.6195000000000004</v>
      </c>
      <c r="E13" s="404">
        <f>[1]Bul_ann!$H$165/1000</f>
        <v>4.9994000000000005</v>
      </c>
      <c r="F13" s="404">
        <f>[1]Bul_ann!$H$129/1000</f>
        <v>6.3370999999999995</v>
      </c>
      <c r="G13" s="404">
        <f>[1]Bul_ann!$H$146/1000</f>
        <v>0</v>
      </c>
      <c r="H13" s="404">
        <f>[1]Bul_ann!$H$144/1000</f>
        <v>0.1168</v>
      </c>
      <c r="I13" s="404">
        <f>[1]Bul_ann!$H$161/1000</f>
        <v>3.3983999999999996</v>
      </c>
      <c r="J13" s="407">
        <f>[1]Bul_ann!$H$135/1000</f>
        <v>0.17160000000000003</v>
      </c>
      <c r="L13" s="34"/>
    </row>
    <row r="14" spans="1:50" ht="16.5" hidden="1" customHeight="1" outlineLevel="1" x14ac:dyDescent="0.2">
      <c r="A14" s="47">
        <v>1994</v>
      </c>
      <c r="B14" s="27"/>
      <c r="C14" s="404"/>
      <c r="D14" s="404"/>
      <c r="E14" s="404"/>
      <c r="F14" s="404"/>
      <c r="G14" s="404"/>
      <c r="H14" s="404"/>
      <c r="I14" s="404"/>
      <c r="J14" s="407"/>
      <c r="L14" s="34"/>
    </row>
    <row r="15" spans="1:50" ht="16.5" hidden="1" customHeight="1" outlineLevel="1" x14ac:dyDescent="0.2">
      <c r="A15" s="45" t="s">
        <v>27</v>
      </c>
      <c r="B15" s="27"/>
      <c r="C15" s="404">
        <f>SUM(D15:J15)</f>
        <v>30.216340000000002</v>
      </c>
      <c r="D15" s="404">
        <f>'[1]MKT_94(R)'!$C126/1000</f>
        <v>0</v>
      </c>
      <c r="E15" s="404">
        <f>'[1]MKT_94(R)'!$C168/1000</f>
        <v>12.851600000000001</v>
      </c>
      <c r="F15" s="404">
        <f>'[1]MKT_94(R)'!$C132/1000</f>
        <v>1.57E-3</v>
      </c>
      <c r="G15" s="404">
        <f>'[1]MKT_94(R)'!$C149/1000</f>
        <v>3.1E-4</v>
      </c>
      <c r="H15" s="404">
        <f>'[1]MKT_94(R)'!$C147/1000</f>
        <v>0</v>
      </c>
      <c r="I15" s="404">
        <f>'[1]MKT_94(R)'!$C164/1000</f>
        <v>17.3613</v>
      </c>
      <c r="J15" s="407">
        <f>'[1]MKT_94(R)'!$C138/1000</f>
        <v>1.56E-3</v>
      </c>
      <c r="L15" s="34"/>
    </row>
    <row r="16" spans="1:50" ht="16.5" hidden="1" customHeight="1" outlineLevel="1" x14ac:dyDescent="0.2">
      <c r="A16" s="41" t="s">
        <v>28</v>
      </c>
      <c r="B16" s="27"/>
      <c r="C16" s="404">
        <f>SUM(D16:J16)</f>
        <v>47.137660000000004</v>
      </c>
      <c r="D16" s="404">
        <f>'[1]MKT_94(R)'!$D126/1000</f>
        <v>0</v>
      </c>
      <c r="E16" s="404">
        <f>'[1]MKT_94(R)'!$D168/1000</f>
        <v>7.89</v>
      </c>
      <c r="F16" s="404">
        <f>'[1]MKT_94(R)'!$D132/1000</f>
        <v>1.4E-3</v>
      </c>
      <c r="G16" s="404">
        <f>'[1]MKT_94(R)'!$D149/1000</f>
        <v>5.9999999999999995E-4</v>
      </c>
      <c r="H16" s="404">
        <f>'[1]MKT_94(R)'!$D147/1000</f>
        <v>0</v>
      </c>
      <c r="I16" s="404">
        <f>'[1]MKT_94(R)'!$D164/1000</f>
        <v>39.244450000000001</v>
      </c>
      <c r="J16" s="407">
        <f>'[1]MKT_94(R)'!$D138/1000</f>
        <v>1.2099999999999999E-3</v>
      </c>
      <c r="L16" s="34"/>
    </row>
    <row r="17" spans="1:12" ht="16.5" hidden="1" customHeight="1" outlineLevel="1" x14ac:dyDescent="0.2">
      <c r="A17" s="41" t="s">
        <v>29</v>
      </c>
      <c r="B17" s="27"/>
      <c r="C17" s="404">
        <f>SUM(D17:J17)</f>
        <v>87.339740000000006</v>
      </c>
      <c r="D17" s="404">
        <f>'[1]MKT_94(R)'!$E126/1000</f>
        <v>0</v>
      </c>
      <c r="E17" s="404">
        <f>'[1]MKT_94(R)'!$E168/1000</f>
        <v>9.6173999999999999</v>
      </c>
      <c r="F17" s="404">
        <f>'[1]MKT_94(R)'!$E132/1000</f>
        <v>2.7599999999999999E-3</v>
      </c>
      <c r="G17" s="404">
        <f>'[1]MKT_94(R)'!$E149/1000</f>
        <v>4.6999999999999999E-4</v>
      </c>
      <c r="H17" s="404">
        <f>'[1]MKT_94(R)'!$E147/1000</f>
        <v>0</v>
      </c>
      <c r="I17" s="404">
        <f>'[1]MKT_94(R)'!$E164/1000</f>
        <v>77.717550000000003</v>
      </c>
      <c r="J17" s="407">
        <f>'[1]MKT_94(R)'!$E138/1000</f>
        <v>1.56E-3</v>
      </c>
      <c r="L17" s="34"/>
    </row>
    <row r="18" spans="1:12" hidden="1" outlineLevel="1" x14ac:dyDescent="0.2">
      <c r="A18" s="46" t="s">
        <v>30</v>
      </c>
      <c r="B18" s="240"/>
      <c r="C18" s="404">
        <f>SUM(D18:J18)</f>
        <v>64.012360000000001</v>
      </c>
      <c r="D18" s="404">
        <f>'[1]MKT_94(R)'!$F126/1000</f>
        <v>0</v>
      </c>
      <c r="E18" s="404">
        <f>'[1]MKT_94(R)'!$F168/1000</f>
        <v>10.714499999999999</v>
      </c>
      <c r="F18" s="404">
        <f>'[1]MKT_94(R)'!$F132/1000</f>
        <v>2.4399999999999999E-3</v>
      </c>
      <c r="G18" s="404">
        <f>'[1]MKT_94(R)'!$F149/1000</f>
        <v>3.3E-4</v>
      </c>
      <c r="H18" s="404">
        <f>'[1]MKT_94(R)'!$F147/1000</f>
        <v>0</v>
      </c>
      <c r="I18" s="404">
        <f>'[1]MKT_94(R)'!$F164/1000</f>
        <v>53.293299999999995</v>
      </c>
      <c r="J18" s="407">
        <f>'[1]MKT_94(R)'!$F138/1000</f>
        <v>1.7900000000000001E-3</v>
      </c>
      <c r="L18" s="38"/>
    </row>
    <row r="19" spans="1:12" ht="15" customHeight="1" collapsed="1" x14ac:dyDescent="0.2">
      <c r="A19" s="47">
        <v>1995</v>
      </c>
      <c r="B19" s="27"/>
      <c r="C19" s="404"/>
      <c r="D19" s="404"/>
      <c r="E19" s="404"/>
      <c r="F19" s="404"/>
      <c r="G19" s="404"/>
      <c r="H19" s="404"/>
      <c r="I19" s="404"/>
      <c r="J19" s="407"/>
      <c r="L19" s="34"/>
    </row>
    <row r="20" spans="1:12" s="277" customFormat="1" ht="14.4" customHeight="1" x14ac:dyDescent="0.2">
      <c r="A20" s="300" t="s">
        <v>27</v>
      </c>
      <c r="B20" s="240"/>
      <c r="C20" s="404">
        <f>SUM(D20:J20)</f>
        <v>35.330199999999998</v>
      </c>
      <c r="D20" s="404">
        <f>'[1]MKT_94(R)'!$G126/1000</f>
        <v>0</v>
      </c>
      <c r="E20" s="404">
        <f>'[1]MKT_94(R)'!$G168/1000</f>
        <v>12.012</v>
      </c>
      <c r="F20" s="404">
        <f>'[1]MKT_94(R)'!$G132/1000</f>
        <v>1.08E-3</v>
      </c>
      <c r="G20" s="404">
        <f>'[1]MKT_94(R)'!$G149/1000</f>
        <v>4.0000000000000002E-4</v>
      </c>
      <c r="H20" s="404">
        <f>'[1]MKT_94(R)'!$G147/1000</f>
        <v>0</v>
      </c>
      <c r="I20" s="404">
        <f>'[1]MKT_94(R)'!$G164/1000</f>
        <v>23.315000000000001</v>
      </c>
      <c r="J20" s="407">
        <f>'[1]MKT_94(R)'!$G138/1000</f>
        <v>1.72E-3</v>
      </c>
      <c r="L20" s="38"/>
    </row>
    <row r="21" spans="1:12" s="277" customFormat="1" ht="14.4" customHeight="1" x14ac:dyDescent="0.2">
      <c r="A21" s="300" t="s">
        <v>28</v>
      </c>
      <c r="B21" s="240"/>
      <c r="C21" s="404">
        <f t="shared" ref="C21:C47" si="1">SUM(D21:J21)</f>
        <v>25.92737</v>
      </c>
      <c r="D21" s="404">
        <f>'[1]MKT_94(R)'!$H126/1000</f>
        <v>0</v>
      </c>
      <c r="E21" s="404">
        <f>'[1]MKT_94(R)'!$H168/1000</f>
        <v>5.2880000000000003</v>
      </c>
      <c r="F21" s="404">
        <f>'[1]MKT_94(R)'!$H132/1000</f>
        <v>1.9199999999999998E-3</v>
      </c>
      <c r="G21" s="404">
        <f>'[1]MKT_94(R)'!$H149/1000</f>
        <v>5.4000000000000001E-4</v>
      </c>
      <c r="H21" s="404">
        <f>'[1]MKT_94(R)'!$H147/1000</f>
        <v>0</v>
      </c>
      <c r="I21" s="404">
        <f>'[1]MKT_94(R)'!$H164/1000</f>
        <v>20.635200000000001</v>
      </c>
      <c r="J21" s="407">
        <f>'[1]MKT_94(R)'!$H138/1000</f>
        <v>1.7099999999999999E-3</v>
      </c>
      <c r="L21" s="38"/>
    </row>
    <row r="22" spans="1:12" s="277" customFormat="1" ht="14.4" customHeight="1" x14ac:dyDescent="0.2">
      <c r="A22" s="300" t="s">
        <v>29</v>
      </c>
      <c r="B22" s="240"/>
      <c r="C22" s="404">
        <f t="shared" si="1"/>
        <v>50.392049999999998</v>
      </c>
      <c r="D22" s="404">
        <f>'[1]MKT_94(R)'!$I126/1000</f>
        <v>0</v>
      </c>
      <c r="E22" s="404">
        <f>'[1]MKT_94(R)'!$I168/1000</f>
        <v>8.1731999999999996</v>
      </c>
      <c r="F22" s="404">
        <f>'[1]MKT_94(R)'!$I132/1000</f>
        <v>2.5600000000000002E-3</v>
      </c>
      <c r="G22" s="404">
        <f>'[1]MKT_94(R)'!$I149/1000</f>
        <v>4.6000000000000001E-4</v>
      </c>
      <c r="H22" s="404">
        <f>'[1]MKT_94(R)'!$I147/1000</f>
        <v>0</v>
      </c>
      <c r="I22" s="404">
        <f>'[1]MKT_94(R)'!$I164/1000</f>
        <v>42.214499999999994</v>
      </c>
      <c r="J22" s="407">
        <f>'[1]MKT_94(R)'!$I138/1000</f>
        <v>1.33E-3</v>
      </c>
      <c r="L22" s="38"/>
    </row>
    <row r="23" spans="1:12" s="277" customFormat="1" ht="14.4" customHeight="1" x14ac:dyDescent="0.2">
      <c r="A23" s="300" t="s">
        <v>30</v>
      </c>
      <c r="B23" s="240"/>
      <c r="C23" s="404">
        <f t="shared" si="1"/>
        <v>47.956310000000002</v>
      </c>
      <c r="D23" s="404">
        <f>'[1]MKT_94(R)'!$J126/1000</f>
        <v>0</v>
      </c>
      <c r="E23" s="404">
        <f>'[1]MKT_94(R)'!$J168/1000</f>
        <v>6.4367999999999999</v>
      </c>
      <c r="F23" s="404">
        <f>'[1]MKT_94(R)'!$J132/1000</f>
        <v>3.13E-3</v>
      </c>
      <c r="G23" s="404">
        <f>'[1]MKT_94(R)'!$J149/1000</f>
        <v>4.0000000000000002E-4</v>
      </c>
      <c r="H23" s="404">
        <f>'[1]MKT_94(R)'!$J147/1000</f>
        <v>0</v>
      </c>
      <c r="I23" s="404">
        <f>'[1]MKT_94(R)'!$J164/1000</f>
        <v>41.513999999999996</v>
      </c>
      <c r="J23" s="407">
        <f>'[1]MKT_94(R)'!$J138/1000</f>
        <v>1.98E-3</v>
      </c>
      <c r="L23" s="38"/>
    </row>
    <row r="24" spans="1:12" s="277" customFormat="1" ht="15" customHeight="1" x14ac:dyDescent="0.2">
      <c r="A24" s="47">
        <v>1996</v>
      </c>
      <c r="B24" s="27"/>
      <c r="C24" s="404"/>
      <c r="D24" s="404"/>
      <c r="E24" s="404"/>
      <c r="F24" s="404"/>
      <c r="G24" s="404"/>
      <c r="H24" s="404"/>
      <c r="I24" s="404"/>
      <c r="J24" s="407"/>
      <c r="L24" s="38"/>
    </row>
    <row r="25" spans="1:12" s="277" customFormat="1" ht="14.4" customHeight="1" x14ac:dyDescent="0.2">
      <c r="A25" s="300" t="s">
        <v>27</v>
      </c>
      <c r="B25" s="240"/>
      <c r="C25" s="404">
        <f t="shared" si="1"/>
        <v>26.807440000000007</v>
      </c>
      <c r="D25" s="404">
        <f>'[1]MKT_94(R)'!$K126/1000</f>
        <v>0</v>
      </c>
      <c r="E25" s="404">
        <f>'[1]MKT_94(R)'!$K168/1000</f>
        <v>8.5668000000000006</v>
      </c>
      <c r="F25" s="404">
        <f>'[1]MKT_94(R)'!$K132/1000</f>
        <v>2.5600000000000002E-3</v>
      </c>
      <c r="G25" s="404">
        <f>'[1]MKT_94(R)'!$K149/1000</f>
        <v>4.0999999999999999E-4</v>
      </c>
      <c r="H25" s="404">
        <f>'[1]MKT_94(R)'!$K147/1000</f>
        <v>0</v>
      </c>
      <c r="I25" s="404">
        <f>'[1]MKT_94(R)'!$K164/1000</f>
        <v>18.235800000000005</v>
      </c>
      <c r="J25" s="407">
        <f>'[1]MKT_94(R)'!$K138/1000</f>
        <v>1.8700000000000001E-3</v>
      </c>
      <c r="L25" s="38"/>
    </row>
    <row r="26" spans="1:12" s="277" customFormat="1" ht="14.4" customHeight="1" x14ac:dyDescent="0.2">
      <c r="A26" s="300" t="s">
        <v>28</v>
      </c>
      <c r="B26" s="240"/>
      <c r="C26" s="404">
        <f t="shared" si="1"/>
        <v>61.218919999999997</v>
      </c>
      <c r="D26" s="404">
        <f>'[1]MKT_94(R)'!$L126/1000</f>
        <v>0</v>
      </c>
      <c r="E26" s="404">
        <f>'[1]MKT_94(R)'!$L168/1000</f>
        <v>4.2520000000000007</v>
      </c>
      <c r="F26" s="404">
        <f>'[1]MKT_94(R)'!$L132/1000</f>
        <v>5.0899999999999999E-3</v>
      </c>
      <c r="G26" s="404">
        <f>'[1]MKT_94(R)'!$L149/1000</f>
        <v>4.0000000000000002E-4</v>
      </c>
      <c r="H26" s="404">
        <f>'[1]MKT_94(R)'!$L147/1000</f>
        <v>0</v>
      </c>
      <c r="I26" s="404">
        <f>'[1]MKT_94(R)'!$L164/1000</f>
        <v>56.96</v>
      </c>
      <c r="J26" s="407">
        <f>'[1]MKT_94(R)'!$L138/1000</f>
        <v>1.4299999999999998E-3</v>
      </c>
      <c r="L26" s="38"/>
    </row>
    <row r="27" spans="1:12" s="277" customFormat="1" ht="14.4" customHeight="1" x14ac:dyDescent="0.2">
      <c r="A27" s="300" t="s">
        <v>29</v>
      </c>
      <c r="B27" s="240"/>
      <c r="C27" s="404">
        <f t="shared" si="1"/>
        <v>60.990049999999997</v>
      </c>
      <c r="D27" s="404">
        <f>'[1]MKT_94(R)'!$M126/1000</f>
        <v>0</v>
      </c>
      <c r="E27" s="404">
        <f>'[1]MKT_94(R)'!$M168/1000</f>
        <v>8.6579999999999995</v>
      </c>
      <c r="F27" s="404">
        <f>'[1]MKT_94(R)'!$M132/1000</f>
        <v>2.8399999999999996E-3</v>
      </c>
      <c r="G27" s="404">
        <f>'[1]MKT_94(R)'!$M149/1000</f>
        <v>4.0999999999999999E-4</v>
      </c>
      <c r="H27" s="404">
        <f>'[1]MKT_94(R)'!$M147/1000</f>
        <v>0</v>
      </c>
      <c r="I27" s="404">
        <f>'[1]MKT_94(R)'!$M164/1000</f>
        <v>52.327449999999992</v>
      </c>
      <c r="J27" s="407">
        <f>'[1]MKT_94(R)'!$M138/1000</f>
        <v>1.3500000000000001E-3</v>
      </c>
      <c r="L27" s="38"/>
    </row>
    <row r="28" spans="1:12" s="277" customFormat="1" ht="14.4" customHeight="1" x14ac:dyDescent="0.2">
      <c r="A28" s="300" t="s">
        <v>30</v>
      </c>
      <c r="B28" s="240"/>
      <c r="C28" s="404">
        <f t="shared" si="1"/>
        <v>55.29027</v>
      </c>
      <c r="D28" s="404">
        <f>'[1]MKT_94(R)'!$N126/1000</f>
        <v>0</v>
      </c>
      <c r="E28" s="404">
        <f>'[1]MKT_94(R)'!$N168/1000</f>
        <v>7.8393999999999995</v>
      </c>
      <c r="F28" s="404">
        <f>'[1]MKT_94(R)'!$N132/1000</f>
        <v>2.4100000000000002E-3</v>
      </c>
      <c r="G28" s="404">
        <f>'[1]MKT_94(R)'!$N149/1000</f>
        <v>4.0999999999999999E-4</v>
      </c>
      <c r="H28" s="404">
        <f>'[1]MKT_94(R)'!$N147/1000</f>
        <v>0</v>
      </c>
      <c r="I28" s="404">
        <f>'[1]MKT_94(R)'!$N164/1000</f>
        <v>47.4465</v>
      </c>
      <c r="J28" s="407">
        <f>'[1]MKT_94(R)'!$N138/1000</f>
        <v>1.5499999999999999E-3</v>
      </c>
      <c r="L28" s="38"/>
    </row>
    <row r="29" spans="1:12" s="277" customFormat="1" ht="15" customHeight="1" x14ac:dyDescent="0.2">
      <c r="A29" s="47">
        <v>1997</v>
      </c>
      <c r="B29" s="240"/>
      <c r="C29" s="404"/>
      <c r="D29" s="404"/>
      <c r="E29" s="404"/>
      <c r="F29" s="404"/>
      <c r="G29" s="404"/>
      <c r="H29" s="404"/>
      <c r="I29" s="404"/>
      <c r="J29" s="407"/>
      <c r="L29" s="38"/>
    </row>
    <row r="30" spans="1:12" s="277" customFormat="1" ht="14.4" customHeight="1" x14ac:dyDescent="0.2">
      <c r="A30" s="300" t="s">
        <v>27</v>
      </c>
      <c r="B30" s="240"/>
      <c r="C30" s="404">
        <f t="shared" si="1"/>
        <v>21.664389999999997</v>
      </c>
      <c r="D30" s="404">
        <f>'[1]MKT_94(R)'!$O126/1000</f>
        <v>0</v>
      </c>
      <c r="E30" s="404">
        <f>'[1]MKT_94(R)'!$O168/1000</f>
        <v>6.4249999999999998</v>
      </c>
      <c r="F30" s="404">
        <f>'[1]MKT_94(R)'!$O132/1000</f>
        <v>2.98E-3</v>
      </c>
      <c r="G30" s="404">
        <f>'[1]MKT_94(R)'!$O149/1000</f>
        <v>3.3E-4</v>
      </c>
      <c r="H30" s="404">
        <f>'[1]MKT_94(R)'!$O147/1000</f>
        <v>0</v>
      </c>
      <c r="I30" s="404">
        <f>'[1]MKT_94(R)'!$O164/1000</f>
        <v>15.234749999999998</v>
      </c>
      <c r="J30" s="407">
        <f>'[1]MKT_94(R)'!$O138/1000</f>
        <v>1.33E-3</v>
      </c>
      <c r="L30" s="38"/>
    </row>
    <row r="31" spans="1:12" s="277" customFormat="1" ht="14.4" customHeight="1" x14ac:dyDescent="0.2">
      <c r="A31" s="300" t="s">
        <v>28</v>
      </c>
      <c r="B31" s="240"/>
      <c r="C31" s="404">
        <f t="shared" si="1"/>
        <v>46.529899999999991</v>
      </c>
      <c r="D31" s="404">
        <f>'[1]MKT_94(R)'!$P126/1000</f>
        <v>0</v>
      </c>
      <c r="E31" s="404">
        <f>'[1]MKT_94(R)'!$P168/1000</f>
        <v>2.3907999999999996</v>
      </c>
      <c r="F31" s="404">
        <f>'[1]MKT_94(R)'!$P132/1000</f>
        <v>3.8599999999999997E-3</v>
      </c>
      <c r="G31" s="404">
        <f>'[1]MKT_94(R)'!$P149/1000</f>
        <v>3.6999999999999999E-4</v>
      </c>
      <c r="H31" s="404">
        <f>'[1]MKT_94(R)'!$P147/1000</f>
        <v>0</v>
      </c>
      <c r="I31" s="404">
        <f>'[1]MKT_94(R)'!$P164/1000</f>
        <v>44.133599999999994</v>
      </c>
      <c r="J31" s="407">
        <f>'[1]MKT_94(R)'!$P138/1000</f>
        <v>1.2700000000000001E-3</v>
      </c>
      <c r="L31" s="38"/>
    </row>
    <row r="32" spans="1:12" s="277" customFormat="1" ht="14.4" customHeight="1" x14ac:dyDescent="0.2">
      <c r="A32" s="300" t="s">
        <v>29</v>
      </c>
      <c r="B32" s="240"/>
      <c r="C32" s="404">
        <f t="shared" si="1"/>
        <v>50.280850000000001</v>
      </c>
      <c r="D32" s="404">
        <f>'[1]MKT_94(R)'!$Q126/1000</f>
        <v>0</v>
      </c>
      <c r="E32" s="404">
        <f>'[1]MKT_94(R)'!$Q168/1000</f>
        <v>0.64400000000000002</v>
      </c>
      <c r="F32" s="404">
        <f>'[1]MKT_94(R)'!$Q132/1000</f>
        <v>2.82E-3</v>
      </c>
      <c r="G32" s="404">
        <f>'[1]MKT_94(R)'!$Q149/1000</f>
        <v>4.0000000000000002E-4</v>
      </c>
      <c r="H32" s="404">
        <f>'[1]MKT_94(R)'!$Q147/1000</f>
        <v>0</v>
      </c>
      <c r="I32" s="404">
        <f>'[1]MKT_94(R)'!$Q164/1000</f>
        <v>49.632100000000001</v>
      </c>
      <c r="J32" s="407">
        <f>'[1]MKT_94(R)'!$Q138/1000</f>
        <v>1.5300000000000001E-3</v>
      </c>
      <c r="L32" s="38"/>
    </row>
    <row r="33" spans="1:12" s="277" customFormat="1" ht="14.4" customHeight="1" x14ac:dyDescent="0.2">
      <c r="A33" s="300" t="s">
        <v>30</v>
      </c>
      <c r="B33" s="240"/>
      <c r="C33" s="404">
        <f t="shared" si="1"/>
        <v>41.850929999999998</v>
      </c>
      <c r="D33" s="404">
        <f>'[1]MKT_94(R)'!$R126/1000</f>
        <v>0</v>
      </c>
      <c r="E33" s="404">
        <f>'[1]MKT_94(R)'!$R168/1000</f>
        <v>27.345600000000001</v>
      </c>
      <c r="F33" s="404">
        <f>'[1]MKT_94(R)'!$R132/1000</f>
        <v>1.83E-3</v>
      </c>
      <c r="G33" s="404">
        <f>'[1]MKT_94(R)'!$R149/1000</f>
        <v>3.6999999999999999E-4</v>
      </c>
      <c r="H33" s="404">
        <f>'[1]MKT_94(R)'!$R147/1000</f>
        <v>0</v>
      </c>
      <c r="I33" s="404">
        <f>'[1]MKT_94(R)'!$R164/1000</f>
        <v>14.5015</v>
      </c>
      <c r="J33" s="407">
        <f>'[1]MKT_94(R)'!$R138/1000</f>
        <v>1.6299999999999999E-3</v>
      </c>
      <c r="L33" s="38"/>
    </row>
    <row r="34" spans="1:12" s="277" customFormat="1" ht="12.9" customHeight="1" x14ac:dyDescent="0.2">
      <c r="A34" s="47">
        <v>1998</v>
      </c>
      <c r="B34" s="240"/>
      <c r="C34" s="404"/>
      <c r="D34" s="404"/>
      <c r="E34" s="404"/>
      <c r="F34" s="404"/>
      <c r="G34" s="404"/>
      <c r="H34" s="404"/>
      <c r="I34" s="404"/>
      <c r="J34" s="407"/>
      <c r="L34" s="38"/>
    </row>
    <row r="35" spans="1:12" s="277" customFormat="1" ht="14.4" customHeight="1" x14ac:dyDescent="0.2">
      <c r="A35" s="300" t="s">
        <v>27</v>
      </c>
      <c r="B35" s="240"/>
      <c r="C35" s="404">
        <f t="shared" si="1"/>
        <v>50.094350000000006</v>
      </c>
      <c r="D35" s="404">
        <f>'[1]MKT_94(R)'!$S126/1000</f>
        <v>0</v>
      </c>
      <c r="E35" s="404">
        <f>'[1]MKT_94(R)'!$S168/1000</f>
        <v>12.736700000000003</v>
      </c>
      <c r="F35" s="404">
        <f>'[1]MKT_94(R)'!$S132/1000</f>
        <v>3.13E-3</v>
      </c>
      <c r="G35" s="404">
        <f>'[1]MKT_94(R)'!$S149/1000</f>
        <v>4.0000000000000002E-4</v>
      </c>
      <c r="H35" s="404">
        <f>'[1]MKT_94(R)'!$S147/1000</f>
        <v>0</v>
      </c>
      <c r="I35" s="404">
        <f>'[1]MKT_94(R)'!$S164/1000</f>
        <v>37.349699999999999</v>
      </c>
      <c r="J35" s="407">
        <f>'[1]MKT_94(R)'!$S138/1000</f>
        <v>4.4200000000000003E-3</v>
      </c>
      <c r="L35" s="38"/>
    </row>
    <row r="36" spans="1:12" s="277" customFormat="1" ht="14.4" customHeight="1" x14ac:dyDescent="0.2">
      <c r="A36" s="300" t="s">
        <v>28</v>
      </c>
      <c r="B36" s="240"/>
      <c r="C36" s="404">
        <f t="shared" si="1"/>
        <v>20.262470000000004</v>
      </c>
      <c r="D36" s="404">
        <f>'[1]MKT_94(R)'!$T126/1000</f>
        <v>0</v>
      </c>
      <c r="E36" s="404">
        <f>'[1]MKT_94(R)'!$T168/1000</f>
        <v>4.5414000000000003</v>
      </c>
      <c r="F36" s="404">
        <f>'[1]MKT_94(R)'!$T132/1000</f>
        <v>1.89E-3</v>
      </c>
      <c r="G36" s="404">
        <f>'[1]MKT_94(R)'!$T149/1000</f>
        <v>5.0000000000000001E-4</v>
      </c>
      <c r="H36" s="404">
        <f>'[1]MKT_94(R)'!$T147/1000</f>
        <v>0</v>
      </c>
      <c r="I36" s="404">
        <f>'[1]MKT_94(R)'!$T164/1000</f>
        <v>15.716750000000001</v>
      </c>
      <c r="J36" s="407">
        <f>'[1]MKT_94(R)'!$T138/1000</f>
        <v>1.9299999999999999E-3</v>
      </c>
      <c r="L36" s="38"/>
    </row>
    <row r="37" spans="1:12" s="277" customFormat="1" ht="14.4" customHeight="1" x14ac:dyDescent="0.2">
      <c r="A37" s="300" t="s">
        <v>29</v>
      </c>
      <c r="B37" s="240"/>
      <c r="C37" s="404">
        <f t="shared" si="1"/>
        <v>102.03016</v>
      </c>
      <c r="D37" s="404">
        <f>'[1]MKT_94(R)'!$U126/1000</f>
        <v>0</v>
      </c>
      <c r="E37" s="404">
        <f>'[1]MKT_94(R)'!$U168/1000</f>
        <v>5.7868000000000004</v>
      </c>
      <c r="F37" s="404">
        <f>'[1]MKT_94(R)'!$U132/1000</f>
        <v>2.8700000000000002E-3</v>
      </c>
      <c r="G37" s="404">
        <f>'[1]MKT_94(R)'!$U149/1000</f>
        <v>4.1999999999999996E-4</v>
      </c>
      <c r="H37" s="404">
        <f>'[1]MKT_94(R)'!$U147/1000</f>
        <v>0</v>
      </c>
      <c r="I37" s="404">
        <f>'[1]MKT_94(R)'!$U164/1000</f>
        <v>96.237199999999987</v>
      </c>
      <c r="J37" s="407">
        <f>'[1]MKT_94(R)'!$U138/1000</f>
        <v>2.8700000000000002E-3</v>
      </c>
      <c r="L37" s="38"/>
    </row>
    <row r="38" spans="1:12" s="277" customFormat="1" ht="14.4" customHeight="1" x14ac:dyDescent="0.2">
      <c r="A38" s="300" t="s">
        <v>30</v>
      </c>
      <c r="B38" s="240"/>
      <c r="C38" s="404">
        <f t="shared" si="1"/>
        <v>102.6816</v>
      </c>
      <c r="D38" s="404">
        <f>'[1]MKT_94(R)'!$V126/1000</f>
        <v>0</v>
      </c>
      <c r="E38" s="404">
        <f>'[1]MKT_94(R)'!$V168/1000</f>
        <v>13.36</v>
      </c>
      <c r="F38" s="404">
        <f>'[1]MKT_94(R)'!$V132/1000</f>
        <v>3.0699999999999998E-3</v>
      </c>
      <c r="G38" s="404">
        <f>'[1]MKT_94(R)'!$V149/1000</f>
        <v>4.1999999999999996E-4</v>
      </c>
      <c r="H38" s="404">
        <f>'[1]MKT_94(R)'!$V147/1000</f>
        <v>0</v>
      </c>
      <c r="I38" s="404">
        <f>'[1]MKT_94(R)'!$V164/1000</f>
        <v>89.314300000000003</v>
      </c>
      <c r="J38" s="407">
        <f>'[1]MKT_94(R)'!$V138/1000</f>
        <v>3.81E-3</v>
      </c>
      <c r="L38" s="38"/>
    </row>
    <row r="39" spans="1:12" s="277" customFormat="1" ht="12.9" customHeight="1" x14ac:dyDescent="0.2">
      <c r="A39" s="47">
        <v>1999</v>
      </c>
      <c r="B39" s="240"/>
      <c r="C39" s="404"/>
      <c r="D39" s="404"/>
      <c r="E39" s="404"/>
      <c r="F39" s="404"/>
      <c r="G39" s="404"/>
      <c r="H39" s="404"/>
      <c r="I39" s="404"/>
      <c r="J39" s="407"/>
      <c r="L39" s="38"/>
    </row>
    <row r="40" spans="1:12" s="277" customFormat="1" ht="14.4" customHeight="1" x14ac:dyDescent="0.2">
      <c r="A40" s="300" t="s">
        <v>27</v>
      </c>
      <c r="B40" s="240"/>
      <c r="C40" s="404">
        <f t="shared" si="1"/>
        <v>84.859090000000009</v>
      </c>
      <c r="D40" s="404">
        <f>'[1]MKT_94(R)'!$W126/1000</f>
        <v>0</v>
      </c>
      <c r="E40" s="404">
        <f>'[1]MKT_94(R)'!$W168/1000</f>
        <v>4.7397</v>
      </c>
      <c r="F40" s="404">
        <f>'[1]MKT_94(R)'!$W132/1000</f>
        <v>3.7400000000000003E-3</v>
      </c>
      <c r="G40" s="404">
        <f>'[1]MKT_94(R)'!$W149/1000</f>
        <v>5.9999999999999995E-4</v>
      </c>
      <c r="H40" s="404">
        <f>'[1]MKT_94(R)'!$W147/1000</f>
        <v>0</v>
      </c>
      <c r="I40" s="404">
        <f>'[1]MKT_94(R)'!$W164/1000</f>
        <v>80.113600000000005</v>
      </c>
      <c r="J40" s="407">
        <f>'[1]MKT_94(R)'!$W138/1000</f>
        <v>1.4499999999999999E-3</v>
      </c>
      <c r="L40" s="38"/>
    </row>
    <row r="41" spans="1:12" s="277" customFormat="1" ht="14.4" customHeight="1" x14ac:dyDescent="0.2">
      <c r="A41" s="300" t="s">
        <v>28</v>
      </c>
      <c r="B41" s="240"/>
      <c r="C41" s="404">
        <f t="shared" si="1"/>
        <v>102.34714999999998</v>
      </c>
      <c r="D41" s="404">
        <f>'[1]MKT_94(R)'!$X126/1000</f>
        <v>0</v>
      </c>
      <c r="E41" s="404">
        <f>'[1]MKT_94(R)'!$X168/1000</f>
        <v>0.66149999999999998</v>
      </c>
      <c r="F41" s="404">
        <f>'[1]MKT_94(R)'!$X132/1000</f>
        <v>2.4300000000000003E-3</v>
      </c>
      <c r="G41" s="404">
        <f>'[1]MKT_94(R)'!$X149/1000</f>
        <v>5.1000000000000004E-4</v>
      </c>
      <c r="H41" s="404">
        <f>'[1]MKT_94(R)'!$X147/1000</f>
        <v>0</v>
      </c>
      <c r="I41" s="404">
        <f>'[1]MKT_94(R)'!$X164/1000</f>
        <v>101.68199999999999</v>
      </c>
      <c r="J41" s="407">
        <f>'[1]MKT_94(R)'!$X138/1000</f>
        <v>7.0999999999999991E-4</v>
      </c>
      <c r="L41" s="38"/>
    </row>
    <row r="42" spans="1:12" s="277" customFormat="1" ht="14.4" customHeight="1" x14ac:dyDescent="0.2">
      <c r="A42" s="300" t="s">
        <v>29</v>
      </c>
      <c r="B42" s="240"/>
      <c r="C42" s="404">
        <f t="shared" si="1"/>
        <v>111.26658</v>
      </c>
      <c r="D42" s="404">
        <f>'[1]MKT_94(R)'!$Y126/1000</f>
        <v>0</v>
      </c>
      <c r="E42" s="404">
        <f>'[1]MKT_94(R)'!$Y168/1000</f>
        <v>1.5009999999999999</v>
      </c>
      <c r="F42" s="404">
        <f>'[1]MKT_94(R)'!$Y132/1000</f>
        <v>1.32E-3</v>
      </c>
      <c r="G42" s="404">
        <f>'[1]MKT_94(R)'!$Y149/1000</f>
        <v>5.9999999999999995E-4</v>
      </c>
      <c r="H42" s="404">
        <f>'[1]MKT_94(R)'!$Y147/1000</f>
        <v>0</v>
      </c>
      <c r="I42" s="404">
        <f>'[1]MKT_94(R)'!$Y164/1000</f>
        <v>109.7629</v>
      </c>
      <c r="J42" s="407">
        <f>'[1]MKT_94(R)'!$Y138/1000</f>
        <v>7.6000000000000004E-4</v>
      </c>
      <c r="L42" s="38"/>
    </row>
    <row r="43" spans="1:12" s="277" customFormat="1" ht="14.4" customHeight="1" x14ac:dyDescent="0.2">
      <c r="A43" s="300" t="s">
        <v>30</v>
      </c>
      <c r="B43" s="240"/>
      <c r="C43" s="404">
        <f t="shared" si="1"/>
        <v>45.183870000000006</v>
      </c>
      <c r="D43" s="404">
        <f>'[1]MKT_94(R)'!$Z126/1000</f>
        <v>0</v>
      </c>
      <c r="E43" s="404">
        <f>'[1]MKT_94(R)'!$Z168/1000</f>
        <v>8.343</v>
      </c>
      <c r="F43" s="404">
        <f>'[1]MKT_94(R)'!$Z132/1000</f>
        <v>2.8999999999999998E-3</v>
      </c>
      <c r="G43" s="404">
        <f>'[1]MKT_94(R)'!$Z149/1000</f>
        <v>5.8999999999999992E-4</v>
      </c>
      <c r="H43" s="404">
        <f>'[1]MKT_94(R)'!$Z147/1000</f>
        <v>0</v>
      </c>
      <c r="I43" s="404">
        <f>'[1]MKT_94(R)'!$Z164/1000</f>
        <v>36.836000000000006</v>
      </c>
      <c r="J43" s="407">
        <f>'[1]MKT_94(R)'!$Z138/1000</f>
        <v>1.3799999999999999E-3</v>
      </c>
      <c r="L43" s="38"/>
    </row>
    <row r="44" spans="1:12" s="277" customFormat="1" ht="15" customHeight="1" x14ac:dyDescent="0.2">
      <c r="A44" s="47">
        <v>2000</v>
      </c>
      <c r="B44" s="240"/>
      <c r="C44" s="404"/>
      <c r="D44" s="404"/>
      <c r="E44" s="404"/>
      <c r="F44" s="404"/>
      <c r="G44" s="404"/>
      <c r="H44" s="404"/>
      <c r="I44" s="404"/>
      <c r="J44" s="407"/>
      <c r="L44" s="38"/>
    </row>
    <row r="45" spans="1:12" s="277" customFormat="1" ht="14.4" customHeight="1" x14ac:dyDescent="0.2">
      <c r="A45" s="300" t="s">
        <v>27</v>
      </c>
      <c r="B45" s="240"/>
      <c r="C45" s="404">
        <f t="shared" si="1"/>
        <v>45.342059999999996</v>
      </c>
      <c r="D45" s="404">
        <f>'[1]MKT_94(R)'!$AA126/1000</f>
        <v>0</v>
      </c>
      <c r="E45" s="404">
        <f>'[1]MKT_94(R)'!$AA168/1000</f>
        <v>17.660999999999998</v>
      </c>
      <c r="F45" s="404">
        <f>'[1]MKT_94(R)'!$AA132/1000</f>
        <v>4.2399999999999998E-3</v>
      </c>
      <c r="G45" s="404">
        <f>'[1]MKT_94(R)'!$AA149/1000</f>
        <v>6.6E-4</v>
      </c>
      <c r="H45" s="404">
        <f>'[1]MKT_94(R)'!$AA147/1000</f>
        <v>0</v>
      </c>
      <c r="I45" s="404">
        <f>'[1]MKT_94(R)'!$AA164/1000</f>
        <v>27.675000000000001</v>
      </c>
      <c r="J45" s="407">
        <f>'[1]MKT_94(R)'!$AA138/1000</f>
        <v>1.16E-3</v>
      </c>
      <c r="L45" s="38"/>
    </row>
    <row r="46" spans="1:12" s="277" customFormat="1" ht="14.4" customHeight="1" x14ac:dyDescent="0.2">
      <c r="A46" s="300" t="s">
        <v>28</v>
      </c>
      <c r="B46" s="240"/>
      <c r="C46" s="404">
        <f t="shared" si="1"/>
        <v>23.934419999999999</v>
      </c>
      <c r="D46" s="404">
        <f>'[1]MKT_94(R)'!$AB126/1000</f>
        <v>0</v>
      </c>
      <c r="E46" s="404">
        <f>'[1]MKT_94(R)'!$AB168/1000</f>
        <v>1.0387999999999999</v>
      </c>
      <c r="F46" s="404">
        <f>'[1]MKT_94(R)'!$AB132/1000</f>
        <v>2.7799999999999999E-3</v>
      </c>
      <c r="G46" s="404">
        <f>'[1]MKT_94(R)'!$AB149/1000</f>
        <v>6.7000000000000002E-4</v>
      </c>
      <c r="H46" s="404">
        <f>'[1]MKT_94(R)'!$AB147/1000</f>
        <v>0</v>
      </c>
      <c r="I46" s="404">
        <f>'[1]MKT_94(R)'!$AB164/1000</f>
        <v>22.891200000000001</v>
      </c>
      <c r="J46" s="407">
        <f>'[1]MKT_94(R)'!$AB138/1000</f>
        <v>9.6999999999999994E-4</v>
      </c>
      <c r="L46" s="38"/>
    </row>
    <row r="47" spans="1:12" s="277" customFormat="1" ht="14.4" customHeight="1" x14ac:dyDescent="0.2">
      <c r="A47" s="300" t="s">
        <v>29</v>
      </c>
      <c r="B47" s="240"/>
      <c r="C47" s="404">
        <f t="shared" si="1"/>
        <v>36.825650000000003</v>
      </c>
      <c r="D47" s="404">
        <f>'[1]MKT_94(R)'!$AC126/1000</f>
        <v>0</v>
      </c>
      <c r="E47" s="488">
        <f>'[1]MKT_94(R)'!$AC168/1000</f>
        <v>1.1011</v>
      </c>
      <c r="F47" s="404">
        <f>'[1]MKT_94(R)'!$AC132/1000</f>
        <v>3.6700000000000001E-3</v>
      </c>
      <c r="G47" s="404">
        <f>'[1]MKT_94(R)'!$AC149/1000</f>
        <v>5.9999999999999995E-4</v>
      </c>
      <c r="H47" s="404">
        <f>'[1]MKT_94(R)'!$AC147/1000</f>
        <v>0</v>
      </c>
      <c r="I47" s="404">
        <f>'[1]MKT_94(R)'!$AC164/1000</f>
        <v>35.719000000000001</v>
      </c>
      <c r="J47" s="407">
        <f>'[1]MKT_94(R)'!$AC138/1000</f>
        <v>1.2800000000000001E-3</v>
      </c>
      <c r="L47" s="38"/>
    </row>
    <row r="48" spans="1:12" s="277" customFormat="1" ht="14.4" customHeight="1" x14ac:dyDescent="0.2">
      <c r="A48" s="300" t="s">
        <v>30</v>
      </c>
      <c r="B48" s="240"/>
      <c r="C48" s="404">
        <f>SUM(D48:J48)</f>
        <v>17.072980000000001</v>
      </c>
      <c r="D48" s="404">
        <f>'[1]MKT_94(R)'!$AD126/1000</f>
        <v>0</v>
      </c>
      <c r="E48" s="488">
        <f>'[1]MKT_94(R)'!$AD168/1000</f>
        <v>1.6616000000000002</v>
      </c>
      <c r="F48" s="404">
        <f>'[1]MKT_94(R)'!$AD132/1000</f>
        <v>1.8600000000000001E-3</v>
      </c>
      <c r="G48" s="404">
        <f>'[1]MKT_94(R)'!$AD149/1000</f>
        <v>6.3000000000000003E-4</v>
      </c>
      <c r="H48" s="404">
        <f>'[1]MKT_94(R)'!$AD147/1000</f>
        <v>0</v>
      </c>
      <c r="I48" s="404">
        <f>'[1]MKT_94(R)'!$AD164/1000</f>
        <v>15.407500000000001</v>
      </c>
      <c r="J48" s="407">
        <f>'[1]MKT_94(R)'!$AD138/1000</f>
        <v>1.39E-3</v>
      </c>
      <c r="L48" s="38"/>
    </row>
    <row r="49" spans="1:12" s="277" customFormat="1" x14ac:dyDescent="0.2">
      <c r="A49" s="47">
        <v>2001</v>
      </c>
      <c r="B49" s="240"/>
      <c r="C49" s="404"/>
      <c r="D49" s="404"/>
      <c r="E49" s="488"/>
      <c r="F49" s="404"/>
      <c r="G49" s="404"/>
      <c r="H49" s="404"/>
      <c r="I49" s="404"/>
      <c r="J49" s="407"/>
      <c r="L49" s="38"/>
    </row>
    <row r="50" spans="1:12" s="277" customFormat="1" ht="14.4" customHeight="1" x14ac:dyDescent="0.2">
      <c r="A50" s="300" t="s">
        <v>27</v>
      </c>
      <c r="B50" s="240"/>
      <c r="C50" s="404">
        <f>SUM(D50:J50)</f>
        <v>9.429409999999999</v>
      </c>
      <c r="D50" s="404">
        <f>'[1]MKT_94(R)'!$AE126/1000</f>
        <v>0</v>
      </c>
      <c r="E50" s="488">
        <f>'[1]MKT_94(R)'!$AE168/1000</f>
        <v>3.3712</v>
      </c>
      <c r="F50" s="404">
        <f>'[1]MKT_94(R)'!$AE132/1000</f>
        <v>3.1900000000000001E-3</v>
      </c>
      <c r="G50" s="404">
        <f>'[1]MKT_94(R)'!$AE149/1000</f>
        <v>6.8000000000000005E-4</v>
      </c>
      <c r="H50" s="404">
        <f>'[1]MKT_94(R)'!$AE147/1000</f>
        <v>0</v>
      </c>
      <c r="I50" s="404">
        <f>'[1]MKT_94(R)'!$AE164/1000</f>
        <v>6.0527999999999995</v>
      </c>
      <c r="J50" s="407">
        <f>'[1]MKT_94(R)'!$AE138/1000</f>
        <v>1.5400000000000001E-3</v>
      </c>
      <c r="L50" s="38"/>
    </row>
    <row r="51" spans="1:12" s="277" customFormat="1" ht="14.4" customHeight="1" x14ac:dyDescent="0.2">
      <c r="A51" s="300" t="s">
        <v>28</v>
      </c>
      <c r="B51" s="240"/>
      <c r="C51" s="404">
        <f>SUM(D51:J51)</f>
        <v>10.68247</v>
      </c>
      <c r="D51" s="404">
        <f>'[1]MKT_94(R)'!$AF126/1000</f>
        <v>0</v>
      </c>
      <c r="E51" s="488">
        <f>'[1]MKT_94(R)'!$AF168/1000</f>
        <v>1.036</v>
      </c>
      <c r="F51" s="404">
        <f>'[1]MKT_94(R)'!$AF132/1000</f>
        <v>2.5499999999999997E-3</v>
      </c>
      <c r="G51" s="404">
        <f>'[1]MKT_94(R)'!$AF149/1000</f>
        <v>2.2299999999999998E-3</v>
      </c>
      <c r="H51" s="404">
        <f>'[1]MKT_94(R)'!$AF147/1000</f>
        <v>0</v>
      </c>
      <c r="I51" s="404">
        <f>'[1]MKT_94(R)'!$AF164/1000</f>
        <v>9.6404000000000014</v>
      </c>
      <c r="J51" s="407">
        <f>'[1]MKT_94(R)'!$AF138/1000</f>
        <v>1.2900000000000001E-3</v>
      </c>
      <c r="L51" s="38"/>
    </row>
    <row r="52" spans="1:12" s="277" customFormat="1" ht="14.4" customHeight="1" x14ac:dyDescent="0.2">
      <c r="A52" s="300" t="s">
        <v>29</v>
      </c>
      <c r="B52" s="240"/>
      <c r="C52" s="404">
        <f>SUM(D52:J52)</f>
        <v>26.342120000000001</v>
      </c>
      <c r="D52" s="404">
        <f>'[1]MKT_94(R)'!$AG126/1000</f>
        <v>0</v>
      </c>
      <c r="E52" s="404">
        <f>'[1]MKT_94(R)'!$AG168/1000</f>
        <v>2.9538000000000002</v>
      </c>
      <c r="F52" s="404">
        <f>'[1]MKT_94(R)'!$AG132/1000</f>
        <v>2.7899999999999999E-3</v>
      </c>
      <c r="G52" s="404">
        <f>'[1]MKT_94(R)'!$AG149/1000</f>
        <v>7.2999999999999996E-4</v>
      </c>
      <c r="H52" s="404">
        <f>'[1]MKT_94(R)'!$AG147/1000</f>
        <v>0</v>
      </c>
      <c r="I52" s="404">
        <f>'[1]MKT_94(R)'!$AG164/1000</f>
        <v>23.383300000000002</v>
      </c>
      <c r="J52" s="407">
        <f>'[1]MKT_94(R)'!$AG138/1000</f>
        <v>1.5E-3</v>
      </c>
      <c r="L52" s="38"/>
    </row>
    <row r="53" spans="1:12" s="277" customFormat="1" ht="14.4" customHeight="1" x14ac:dyDescent="0.2">
      <c r="A53" s="300" t="s">
        <v>30</v>
      </c>
      <c r="B53" s="240"/>
      <c r="C53" s="404">
        <f>SUM(D53:J53)</f>
        <v>22.71857</v>
      </c>
      <c r="D53" s="404">
        <f>'[1]MKT_94(R)'!$AH126/1000</f>
        <v>0</v>
      </c>
      <c r="E53" s="404">
        <f>'[1]MKT_94(R)'!$AH168/1000</f>
        <v>2.3477999999999999</v>
      </c>
      <c r="F53" s="404">
        <f>'[1]MKT_94(R)'!$AH132/1000</f>
        <v>2.7200000000000002E-3</v>
      </c>
      <c r="G53" s="404">
        <f>'[1]MKT_94(R)'!$AH149/1000</f>
        <v>7.5000000000000002E-4</v>
      </c>
      <c r="H53" s="404">
        <f>'[1]MKT_94(R)'!$AH147/1000</f>
        <v>0</v>
      </c>
      <c r="I53" s="404">
        <f>'[1]MKT_94(R)'!$AH164/1000</f>
        <v>20.3658</v>
      </c>
      <c r="J53" s="407">
        <f>'[1]MKT_94(R)'!$AH138/1000</f>
        <v>1.5E-3</v>
      </c>
      <c r="L53" s="38"/>
    </row>
    <row r="54" spans="1:12" s="277" customFormat="1" ht="14.4" customHeight="1" x14ac:dyDescent="0.2">
      <c r="A54" s="47">
        <v>2002</v>
      </c>
      <c r="B54" s="240"/>
      <c r="C54" s="404"/>
      <c r="D54" s="404"/>
      <c r="E54" s="404"/>
      <c r="F54" s="404"/>
      <c r="G54" s="404"/>
      <c r="H54" s="404"/>
      <c r="I54" s="404"/>
      <c r="J54" s="407"/>
      <c r="L54" s="38"/>
    </row>
    <row r="55" spans="1:12" s="277" customFormat="1" ht="14.4" customHeight="1" x14ac:dyDescent="0.2">
      <c r="A55" s="300" t="s">
        <v>27</v>
      </c>
      <c r="B55" s="240"/>
      <c r="C55" s="500">
        <f>SUM(D55:J55)</f>
        <v>92.461864416391549</v>
      </c>
      <c r="D55" s="500">
        <f>'[1]MKT_94(R)'!$AI128/1000</f>
        <v>8.1499999999999997E-4</v>
      </c>
      <c r="E55" s="500">
        <f>'[1]MKT_94(R)'!$AI170/1000</f>
        <v>0</v>
      </c>
      <c r="F55" s="500">
        <f>'[1]MKT_94(R)'!$AI134/1000</f>
        <v>2.8399999999999996E-3</v>
      </c>
      <c r="G55" s="500">
        <f>'[1]MKT_94(R)'!$AI151/1000</f>
        <v>1.9941639154258007E-4</v>
      </c>
      <c r="H55" s="500">
        <f>'[1]MKT_94(R)'!$AI149/1000</f>
        <v>9.6999999999999994E-4</v>
      </c>
      <c r="I55" s="500">
        <f>'[1]MKT_94(R)'!$AI166/1000</f>
        <v>92.454400000000007</v>
      </c>
      <c r="J55" s="478">
        <f>'[1]MKT_94(R)'!$AI140/1000</f>
        <v>2.64E-3</v>
      </c>
      <c r="L55" s="38"/>
    </row>
    <row r="56" spans="1:12" ht="15" customHeight="1" x14ac:dyDescent="0.2">
      <c r="A56" s="320" t="s">
        <v>50</v>
      </c>
      <c r="B56" s="321"/>
      <c r="C56" s="297"/>
      <c r="D56" s="298"/>
      <c r="E56" s="298"/>
      <c r="F56" s="298"/>
      <c r="G56" s="298"/>
      <c r="H56" s="298"/>
      <c r="I56" s="298"/>
      <c r="J56" s="298"/>
    </row>
    <row r="57" spans="1:12" x14ac:dyDescent="0.2">
      <c r="A57" s="276" t="s">
        <v>35</v>
      </c>
      <c r="B57" s="48"/>
      <c r="C57" s="48"/>
    </row>
    <row r="59" spans="1:12" x14ac:dyDescent="0.2">
      <c r="C59" s="12">
        <f>SUM(C17:C21)/4</f>
        <v>53.152417499999999</v>
      </c>
    </row>
  </sheetData>
  <phoneticPr fontId="2" type="noConversion"/>
  <printOptions gridLinesSet="0"/>
  <pageMargins left="0.59055118110236204" right="1.77" top="0.59055118110236204" bottom="2.2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48" transitionEvaluation="1" codeName="Sheet8">
    <outlinePr summaryBelow="0" summaryRight="0"/>
  </sheetPr>
  <dimension ref="A1:AH72"/>
  <sheetViews>
    <sheetView showGridLines="0" showOutlineSymbols="0" workbookViewId="0">
      <pane xSplit="2" ySplit="6" topLeftCell="C48" activePane="bottomRight" state="frozen"/>
      <selection activeCell="I36" sqref="I36"/>
      <selection pane="topRight" activeCell="I36" sqref="I36"/>
      <selection pane="bottomLeft" activeCell="I36" sqref="I36"/>
      <selection pane="bottomRight" activeCell="G54" sqref="G54"/>
    </sheetView>
  </sheetViews>
  <sheetFormatPr defaultColWidth="14" defaultRowHeight="10.199999999999999" outlineLevelRow="1" x14ac:dyDescent="0.2"/>
  <cols>
    <col min="1" max="1" width="8" style="49" customWidth="1"/>
    <col min="2" max="2" width="5.33203125" style="49" customWidth="1"/>
    <col min="3" max="3" width="12" style="49" customWidth="1"/>
    <col min="4" max="4" width="11" style="49" customWidth="1"/>
    <col min="5" max="7" width="12" style="49" customWidth="1"/>
    <col min="8" max="8" width="11" style="49" customWidth="1"/>
    <col min="9" max="9" width="12" style="49" customWidth="1"/>
    <col min="10" max="10" width="14" style="49" customWidth="1"/>
    <col min="11" max="16384" width="14" style="49"/>
  </cols>
  <sheetData>
    <row r="1" spans="1:10" ht="20.100000000000001" customHeight="1" x14ac:dyDescent="0.2">
      <c r="A1" s="50"/>
      <c r="B1" s="50"/>
      <c r="C1" s="50"/>
      <c r="J1" s="486" t="s">
        <v>63</v>
      </c>
    </row>
    <row r="2" spans="1:10" ht="15" customHeight="1" x14ac:dyDescent="0.25">
      <c r="A2" s="51" t="s">
        <v>52</v>
      </c>
      <c r="B2" s="51"/>
      <c r="C2" s="51"/>
      <c r="D2" s="52"/>
      <c r="E2" s="52"/>
      <c r="F2" s="52"/>
      <c r="G2" s="52"/>
      <c r="H2" s="52"/>
      <c r="I2" s="52"/>
      <c r="J2" s="52"/>
    </row>
    <row r="3" spans="1:10" ht="18" customHeight="1" x14ac:dyDescent="0.2">
      <c r="A3" s="53"/>
      <c r="B3" s="53"/>
      <c r="C3" s="53"/>
      <c r="D3" s="54"/>
      <c r="E3" s="54"/>
      <c r="F3" s="54"/>
      <c r="G3" s="54"/>
      <c r="H3" s="54"/>
      <c r="I3" s="54"/>
      <c r="J3" s="54"/>
    </row>
    <row r="4" spans="1:10" ht="15" customHeight="1" x14ac:dyDescent="0.2">
      <c r="A4" s="53"/>
      <c r="B4" s="53"/>
      <c r="C4" s="53"/>
      <c r="D4" s="54"/>
      <c r="E4" s="54"/>
      <c r="F4" s="54"/>
      <c r="G4" s="54"/>
      <c r="H4" s="54"/>
      <c r="I4" s="54"/>
      <c r="J4" s="54"/>
    </row>
    <row r="5" spans="1:10" ht="15" customHeight="1" x14ac:dyDescent="0.2">
      <c r="A5" s="55" t="s">
        <v>6</v>
      </c>
      <c r="B5" s="56"/>
      <c r="C5" s="57" t="s">
        <v>39</v>
      </c>
      <c r="D5" s="57" t="s">
        <v>40</v>
      </c>
      <c r="E5" s="57" t="s">
        <v>41</v>
      </c>
      <c r="F5" s="57" t="s">
        <v>42</v>
      </c>
      <c r="G5" s="57" t="s">
        <v>43</v>
      </c>
      <c r="H5" s="57" t="s">
        <v>44</v>
      </c>
      <c r="I5" s="57" t="s">
        <v>45</v>
      </c>
      <c r="J5" s="58" t="s">
        <v>46</v>
      </c>
    </row>
    <row r="6" spans="1:10" ht="15" customHeight="1" collapsed="1" x14ac:dyDescent="0.2">
      <c r="A6" s="242"/>
      <c r="B6" s="243"/>
      <c r="C6" s="243"/>
      <c r="D6" s="244" t="s">
        <v>135</v>
      </c>
      <c r="E6" s="245"/>
      <c r="F6" s="245"/>
      <c r="G6" s="245"/>
      <c r="H6" s="244" t="s">
        <v>48</v>
      </c>
      <c r="I6" s="245"/>
      <c r="J6" s="246"/>
    </row>
    <row r="7" spans="1:10" s="279" customFormat="1" ht="15" hidden="1" customHeight="1" outlineLevel="1" x14ac:dyDescent="0.2">
      <c r="A7" s="361" t="s">
        <v>25</v>
      </c>
      <c r="B7" s="362"/>
      <c r="C7" s="479">
        <f t="shared" ref="C7:J7" si="0">AVERAGEA(C17:C21)</f>
        <v>622.81309570097676</v>
      </c>
      <c r="D7" s="479">
        <f>AVERAGEA(D17:D21)</f>
        <v>547.61</v>
      </c>
      <c r="E7" s="479">
        <f t="shared" si="0"/>
        <v>3.6025</v>
      </c>
      <c r="F7" s="479">
        <f t="shared" si="0"/>
        <v>21.41</v>
      </c>
      <c r="G7" s="479">
        <f t="shared" si="0"/>
        <v>20.012499999999999</v>
      </c>
      <c r="H7" s="479">
        <f t="shared" si="0"/>
        <v>0</v>
      </c>
      <c r="I7" s="479">
        <f t="shared" si="0"/>
        <v>5.0999999999999996</v>
      </c>
      <c r="J7" s="480">
        <f t="shared" si="0"/>
        <v>25.078095700976768</v>
      </c>
    </row>
    <row r="8" spans="1:10" ht="15" hidden="1" customHeight="1" outlineLevel="1" x14ac:dyDescent="0.2">
      <c r="A8" s="65" t="s">
        <v>26</v>
      </c>
      <c r="B8" s="66"/>
      <c r="C8" s="481">
        <f t="shared" ref="C8:J8" si="1">AVERAGEA(C22:C26)</f>
        <v>557.83123251849327</v>
      </c>
      <c r="D8" s="481">
        <f t="shared" si="1"/>
        <v>508.75599999999997</v>
      </c>
      <c r="E8" s="481">
        <f t="shared" si="1"/>
        <v>4.2565</v>
      </c>
      <c r="F8" s="481">
        <f t="shared" si="1"/>
        <v>19.008499999999998</v>
      </c>
      <c r="G8" s="481">
        <f t="shared" si="1"/>
        <v>20.285</v>
      </c>
      <c r="H8" s="481">
        <f t="shared" si="1"/>
        <v>0</v>
      </c>
      <c r="I8" s="481">
        <f t="shared" si="1"/>
        <v>3.3833900000000003</v>
      </c>
      <c r="J8" s="482">
        <f t="shared" si="1"/>
        <v>2.141842518493303</v>
      </c>
    </row>
    <row r="9" spans="1:10" ht="15" customHeight="1" x14ac:dyDescent="0.2">
      <c r="A9" s="65" t="s">
        <v>111</v>
      </c>
      <c r="B9" s="66"/>
      <c r="C9" s="481">
        <f t="shared" ref="C9:J9" si="2">AVERAGEA(C27:C31)</f>
        <v>635.93353140660702</v>
      </c>
      <c r="D9" s="481">
        <f t="shared" si="2"/>
        <v>564.4375</v>
      </c>
      <c r="E9" s="481">
        <f t="shared" si="2"/>
        <v>10.157499999999999</v>
      </c>
      <c r="F9" s="481">
        <f t="shared" si="2"/>
        <v>18.522500000000001</v>
      </c>
      <c r="G9" s="481">
        <f t="shared" si="2"/>
        <v>11.602499999999999</v>
      </c>
      <c r="H9" s="481">
        <f t="shared" si="2"/>
        <v>0</v>
      </c>
      <c r="I9" s="481">
        <f t="shared" si="2"/>
        <v>5.4375</v>
      </c>
      <c r="J9" s="482">
        <f t="shared" si="2"/>
        <v>25.776031406607018</v>
      </c>
    </row>
    <row r="10" spans="1:10" ht="15" customHeight="1" x14ac:dyDescent="0.2">
      <c r="A10" s="451" t="s">
        <v>121</v>
      </c>
      <c r="B10" s="66"/>
      <c r="C10" s="481">
        <f t="shared" ref="C10:J10" si="3">AVERAGEA(C32:C36)</f>
        <v>688.73071563562144</v>
      </c>
      <c r="D10" s="481">
        <f t="shared" si="3"/>
        <v>581.25249999999994</v>
      </c>
      <c r="E10" s="481">
        <f t="shared" si="3"/>
        <v>7.9300000000000006</v>
      </c>
      <c r="F10" s="481">
        <f t="shared" si="3"/>
        <v>19.802499999999998</v>
      </c>
      <c r="G10" s="481">
        <f t="shared" si="3"/>
        <v>12.3125</v>
      </c>
      <c r="H10" s="481">
        <f t="shared" si="3"/>
        <v>0</v>
      </c>
      <c r="I10" s="481">
        <f t="shared" si="3"/>
        <v>6.9249999999999998</v>
      </c>
      <c r="J10" s="482">
        <f t="shared" si="3"/>
        <v>60.508215635621482</v>
      </c>
    </row>
    <row r="11" spans="1:10" ht="15" customHeight="1" x14ac:dyDescent="0.2">
      <c r="A11" s="830" t="s">
        <v>122</v>
      </c>
      <c r="B11" s="831"/>
      <c r="C11" s="481">
        <f t="shared" ref="C11:J11" si="4">AVERAGEA(C37:C41)</f>
        <v>545.73893570937923</v>
      </c>
      <c r="D11" s="481">
        <f t="shared" si="4"/>
        <v>567.56999999999994</v>
      </c>
      <c r="E11" s="481">
        <f t="shared" si="4"/>
        <v>4.5274999999999999</v>
      </c>
      <c r="F11" s="481">
        <f t="shared" si="4"/>
        <v>6.9374999999999991</v>
      </c>
      <c r="G11" s="481">
        <f t="shared" si="4"/>
        <v>13.4725</v>
      </c>
      <c r="H11" s="481">
        <f t="shared" si="4"/>
        <v>0</v>
      </c>
      <c r="I11" s="481">
        <f t="shared" si="4"/>
        <v>2.645</v>
      </c>
      <c r="J11" s="482">
        <f t="shared" si="4"/>
        <v>-49.413564290620698</v>
      </c>
    </row>
    <row r="12" spans="1:10" ht="15" customHeight="1" x14ac:dyDescent="0.2">
      <c r="A12" s="830" t="s">
        <v>133</v>
      </c>
      <c r="B12" s="831"/>
      <c r="C12" s="481">
        <f>AVERAGEA(C42:C46)</f>
        <v>807.57357886054865</v>
      </c>
      <c r="D12" s="481">
        <f t="shared" ref="D12:J12" si="5">AVERAGEA(D42:D46)</f>
        <v>685.20249999999999</v>
      </c>
      <c r="E12" s="481">
        <f t="shared" si="5"/>
        <v>4.0475000000000003</v>
      </c>
      <c r="F12" s="481">
        <f t="shared" si="5"/>
        <v>15.26</v>
      </c>
      <c r="G12" s="481">
        <f t="shared" si="5"/>
        <v>7.8225000000000007</v>
      </c>
      <c r="H12" s="481">
        <f t="shared" si="5"/>
        <v>0</v>
      </c>
      <c r="I12" s="481">
        <f t="shared" si="5"/>
        <v>3.5749999999999997</v>
      </c>
      <c r="J12" s="482">
        <f t="shared" si="5"/>
        <v>91.666078860548581</v>
      </c>
    </row>
    <row r="13" spans="1:10" ht="15" customHeight="1" collapsed="1" x14ac:dyDescent="0.2">
      <c r="A13" s="830" t="s">
        <v>148</v>
      </c>
      <c r="B13" s="831"/>
      <c r="C13" s="481">
        <f t="shared" ref="C13:J13" si="6">AVERAGEA(C47:C51)</f>
        <v>299.06444929224438</v>
      </c>
      <c r="D13" s="481">
        <f t="shared" si="6"/>
        <v>240.82750000000001</v>
      </c>
      <c r="E13" s="481">
        <f t="shared" si="6"/>
        <v>1.8399999999999999</v>
      </c>
      <c r="F13" s="481">
        <f t="shared" si="6"/>
        <v>3.3075000000000001</v>
      </c>
      <c r="G13" s="481">
        <f t="shared" si="6"/>
        <v>2.6900000000000004</v>
      </c>
      <c r="H13" s="481">
        <f t="shared" si="6"/>
        <v>0</v>
      </c>
      <c r="I13" s="481">
        <f t="shared" si="6"/>
        <v>3.56</v>
      </c>
      <c r="J13" s="482">
        <f t="shared" si="6"/>
        <v>46.839449292244367</v>
      </c>
    </row>
    <row r="14" spans="1:10" ht="15" hidden="1" customHeight="1" outlineLevel="1" x14ac:dyDescent="0.2">
      <c r="A14" s="72">
        <v>1994</v>
      </c>
      <c r="B14" s="70"/>
      <c r="C14" s="404"/>
      <c r="D14" s="418"/>
      <c r="E14" s="418"/>
      <c r="F14" s="418"/>
      <c r="G14" s="418"/>
      <c r="H14" s="418"/>
      <c r="I14" s="418"/>
      <c r="J14" s="419"/>
    </row>
    <row r="15" spans="1:10" ht="12.75" hidden="1" customHeight="1" outlineLevel="1" x14ac:dyDescent="0.2">
      <c r="A15" s="69" t="s">
        <v>27</v>
      </c>
      <c r="B15" s="70"/>
      <c r="C15" s="404" t="e">
        <f>SUM(D15:J15)</f>
        <v>#VALUE!</v>
      </c>
      <c r="D15" s="418">
        <f>'[1]MKT_94(R)'!$C$13</f>
        <v>288.34999999999997</v>
      </c>
      <c r="E15" s="418">
        <f>'[1]MKT_94(R)'!$C$55</f>
        <v>0</v>
      </c>
      <c r="F15" s="418">
        <f>'[1]MKT_94(R)'!$C$19</f>
        <v>33.82</v>
      </c>
      <c r="G15" s="418">
        <f>'[1]MKT_94(R)'!$C$36</f>
        <v>16.53</v>
      </c>
      <c r="H15" s="418">
        <f>'[1]MKT_94(R)'!$C$34</f>
        <v>0</v>
      </c>
      <c r="I15" s="418">
        <f>'[1]MKT_94(R)'!$C$51</f>
        <v>3.52</v>
      </c>
      <c r="J15" s="419" t="e">
        <f>'[1]MKT_94(R)'!$C$25</f>
        <v>#VALUE!</v>
      </c>
    </row>
    <row r="16" spans="1:10" ht="12.75" hidden="1" customHeight="1" outlineLevel="1" x14ac:dyDescent="0.2">
      <c r="A16" s="69" t="s">
        <v>28</v>
      </c>
      <c r="B16" s="70"/>
      <c r="C16" s="404" t="e">
        <f>SUM(D16:J16)</f>
        <v>#DIV/0!</v>
      </c>
      <c r="D16" s="418">
        <f>'[1]MKT_94(R)'!$D$13</f>
        <v>533.01</v>
      </c>
      <c r="E16" s="418">
        <f>'[1]MKT_94(R)'!$D$55</f>
        <v>2.17</v>
      </c>
      <c r="F16" s="418">
        <f>'[1]MKT_94(R)'!$D$19</f>
        <v>15.78</v>
      </c>
      <c r="G16" s="418">
        <f>'[1]MKT_94(R)'!$D$36</f>
        <v>4.8600000000000003</v>
      </c>
      <c r="H16" s="418">
        <f>'[1]MKT_94(R)'!$D$34</f>
        <v>0</v>
      </c>
      <c r="I16" s="418">
        <f>'[1]MKT_94(R)'!$D$51</f>
        <v>5.71</v>
      </c>
      <c r="J16" s="419" t="e">
        <f>'[1]MKT_94(R)'!$D$25</f>
        <v>#DIV/0!</v>
      </c>
    </row>
    <row r="17" spans="1:10" ht="12.75" hidden="1" customHeight="1" outlineLevel="1" x14ac:dyDescent="0.2">
      <c r="A17" s="41" t="s">
        <v>29</v>
      </c>
      <c r="B17" s="70"/>
      <c r="C17" s="404">
        <f>SUM(D17:J17)</f>
        <v>794.39445859872615</v>
      </c>
      <c r="D17" s="418">
        <f>'[1]MKT_94(R)'!$E$13</f>
        <v>775.62</v>
      </c>
      <c r="E17" s="418">
        <f>'[1]MKT_94(R)'!$E$55</f>
        <v>2.65</v>
      </c>
      <c r="F17" s="418">
        <f>'[1]MKT_94(R)'!$E$19</f>
        <v>17.809999999999999</v>
      </c>
      <c r="G17" s="418">
        <f>'[1]MKT_94(R)'!$E$36</f>
        <v>3.32</v>
      </c>
      <c r="H17" s="418">
        <f>'[1]MKT_94(R)'!$E$34</f>
        <v>0</v>
      </c>
      <c r="I17" s="418">
        <f>'[1]MKT_94(R)'!$E$51</f>
        <v>0.09</v>
      </c>
      <c r="J17" s="419">
        <f>'[1]MKT_94(R)'!$E$25</f>
        <v>-5.0955414012738851</v>
      </c>
    </row>
    <row r="18" spans="1:10" ht="12.75" hidden="1" customHeight="1" outlineLevel="1" x14ac:dyDescent="0.2">
      <c r="A18" s="71" t="s">
        <v>30</v>
      </c>
      <c r="B18" s="70"/>
      <c r="C18" s="404">
        <f>SUM(D18:J18)</f>
        <v>822.82408583048948</v>
      </c>
      <c r="D18" s="418">
        <f>'[1]MKT_94(R)'!$F$13</f>
        <v>766.49</v>
      </c>
      <c r="E18" s="418">
        <f>'[1]MKT_94(R)'!$F$55</f>
        <v>3.38</v>
      </c>
      <c r="F18" s="418">
        <f>'[1]MKT_94(R)'!$F$19</f>
        <v>23.81</v>
      </c>
      <c r="G18" s="418">
        <f>'[1]MKT_94(R)'!$F$36</f>
        <v>67.34</v>
      </c>
      <c r="H18" s="418">
        <f>'[1]MKT_94(R)'!$F$34</f>
        <v>0</v>
      </c>
      <c r="I18" s="418">
        <f>'[1]MKT_94(R)'!$F$51</f>
        <v>3.2</v>
      </c>
      <c r="J18" s="419">
        <f>'[1]MKT_94(R)'!$F$25</f>
        <v>-41.395914169510547</v>
      </c>
    </row>
    <row r="19" spans="1:10" ht="15.75" customHeight="1" x14ac:dyDescent="0.2">
      <c r="A19" s="72">
        <v>1995</v>
      </c>
      <c r="B19" s="70"/>
      <c r="C19" s="404"/>
      <c r="D19" s="418"/>
      <c r="E19" s="418"/>
      <c r="F19" s="418"/>
      <c r="G19" s="418"/>
      <c r="H19" s="418"/>
      <c r="I19" s="418"/>
      <c r="J19" s="419"/>
    </row>
    <row r="20" spans="1:10" ht="15" customHeight="1" x14ac:dyDescent="0.2">
      <c r="A20" s="300" t="s">
        <v>27</v>
      </c>
      <c r="B20" s="70"/>
      <c r="C20" s="404">
        <f>SUM(D20:J20)</f>
        <v>475.29589325663147</v>
      </c>
      <c r="D20" s="418">
        <f>'[1]MKT_94(R)'!$G$13</f>
        <v>344.31</v>
      </c>
      <c r="E20" s="418">
        <f>'[1]MKT_94(R)'!$G$55</f>
        <v>4.45</v>
      </c>
      <c r="F20" s="418">
        <f>'[1]MKT_94(R)'!$G$19</f>
        <v>30.8</v>
      </c>
      <c r="G20" s="418">
        <f>'[1]MKT_94(R)'!$G$36</f>
        <v>7.65</v>
      </c>
      <c r="H20" s="418">
        <f>'[1]MKT_94(R)'!$G$34</f>
        <v>0</v>
      </c>
      <c r="I20" s="418">
        <f>'[1]MKT_94(R)'!$G$51</f>
        <v>11.44</v>
      </c>
      <c r="J20" s="419">
        <f>'[1]MKT_94(R)'!$G$25</f>
        <v>76.64589325663151</v>
      </c>
    </row>
    <row r="21" spans="1:10" ht="15" customHeight="1" x14ac:dyDescent="0.2">
      <c r="A21" s="300" t="s">
        <v>28</v>
      </c>
      <c r="B21" s="70"/>
      <c r="C21" s="404">
        <f>SUM(D21:J21)</f>
        <v>398.73794511806011</v>
      </c>
      <c r="D21" s="418">
        <f>'[1]MKT_94(R)'!$H$13</f>
        <v>304.02000000000004</v>
      </c>
      <c r="E21" s="418">
        <f>'[1]MKT_94(R)'!$H$55</f>
        <v>3.93</v>
      </c>
      <c r="F21" s="418">
        <f>'[1]MKT_94(R)'!$H$19</f>
        <v>13.22</v>
      </c>
      <c r="G21" s="418">
        <f>'[1]MKT_94(R)'!$H$36</f>
        <v>1.74</v>
      </c>
      <c r="H21" s="418">
        <f>'[1]MKT_94(R)'!$H$34</f>
        <v>0</v>
      </c>
      <c r="I21" s="418">
        <f>'[1]MKT_94(R)'!$H$51</f>
        <v>5.67</v>
      </c>
      <c r="J21" s="419">
        <f>'[1]MKT_94(R)'!$H$25</f>
        <v>70.157945118059999</v>
      </c>
    </row>
    <row r="22" spans="1:10" ht="15" customHeight="1" x14ac:dyDescent="0.2">
      <c r="A22" s="300" t="s">
        <v>29</v>
      </c>
      <c r="B22" s="70"/>
      <c r="C22" s="404">
        <f>SUM(D22:J22)</f>
        <v>548.6624027337283</v>
      </c>
      <c r="D22" s="418">
        <f>'[1]MKT_94(R)'!$I$13</f>
        <v>539.32799999999997</v>
      </c>
      <c r="E22" s="418">
        <f>'[1]MKT_94(R)'!$I$55</f>
        <v>6.2760000000000007</v>
      </c>
      <c r="F22" s="418">
        <f>'[1]MKT_94(R)'!$I$19</f>
        <v>23.352</v>
      </c>
      <c r="G22" s="418">
        <f>'[1]MKT_94(R)'!$I$36</f>
        <v>3.3359999999999999</v>
      </c>
      <c r="H22" s="418">
        <f>'[1]MKT_94(R)'!$I$34</f>
        <v>0</v>
      </c>
      <c r="I22" s="418">
        <f>'[1]MKT_94(R)'!$I$51</f>
        <v>5.0175600000000005</v>
      </c>
      <c r="J22" s="419">
        <f>'[1]MKT_94(R)'!$I$25</f>
        <v>-28.647157266271645</v>
      </c>
    </row>
    <row r="23" spans="1:10" ht="15" customHeight="1" x14ac:dyDescent="0.2">
      <c r="A23" s="300" t="s">
        <v>30</v>
      </c>
      <c r="B23" s="70"/>
      <c r="C23" s="404">
        <f>SUM(D23:J23)</f>
        <v>828.53848895972999</v>
      </c>
      <c r="D23" s="418">
        <f>'[1]MKT_94(R)'!$J$13</f>
        <v>760.41599999999994</v>
      </c>
      <c r="E23" s="418">
        <f>'[1]MKT_94(R)'!$J$55</f>
        <v>1.2</v>
      </c>
      <c r="F23" s="418">
        <f>'[1]MKT_94(R)'!$J$19</f>
        <v>16.091999999999999</v>
      </c>
      <c r="G23" s="418">
        <f>'[1]MKT_94(R)'!$J$36</f>
        <v>63.923999999999999</v>
      </c>
      <c r="H23" s="418">
        <f>'[1]MKT_94(R)'!$J$34</f>
        <v>0</v>
      </c>
      <c r="I23" s="418">
        <f>'[1]MKT_94(R)'!$J$51</f>
        <v>2.4359999999999995</v>
      </c>
      <c r="J23" s="419">
        <f>'[1]MKT_94(R)'!$J$25</f>
        <v>-15.52951104027003</v>
      </c>
    </row>
    <row r="24" spans="1:10" ht="15" customHeight="1" x14ac:dyDescent="0.2">
      <c r="A24" s="72">
        <v>1996</v>
      </c>
      <c r="B24" s="70"/>
      <c r="C24" s="421"/>
      <c r="D24" s="422"/>
      <c r="E24" s="422"/>
      <c r="F24" s="422"/>
      <c r="G24" s="422"/>
      <c r="H24" s="422"/>
      <c r="I24" s="422"/>
      <c r="J24" s="419"/>
    </row>
    <row r="25" spans="1:10" ht="15" customHeight="1" x14ac:dyDescent="0.2">
      <c r="A25" s="300" t="s">
        <v>27</v>
      </c>
      <c r="B25" s="70"/>
      <c r="C25" s="404">
        <f>SUM(D25:J25)</f>
        <v>439.96489128643321</v>
      </c>
      <c r="D25" s="418">
        <f>'[1]MKT_94(R)'!$K$13</f>
        <v>344.45000000000005</v>
      </c>
      <c r="E25" s="418">
        <f>'[1]MKT_94(R)'!$K$55</f>
        <v>6.77</v>
      </c>
      <c r="F25" s="418">
        <f>'[1]MKT_94(R)'!$K$19</f>
        <v>25.96</v>
      </c>
      <c r="G25" s="418">
        <f>'[1]MKT_94(R)'!$K$36</f>
        <v>11.78</v>
      </c>
      <c r="H25" s="418">
        <f>'[1]MKT_94(R)'!$K$34</f>
        <v>0</v>
      </c>
      <c r="I25" s="418">
        <f>'[1]MKT_94(R)'!$K$51</f>
        <v>4.53</v>
      </c>
      <c r="J25" s="419">
        <f>'[1]MKT_94(R)'!$K$25</f>
        <v>46.474891286433284</v>
      </c>
    </row>
    <row r="26" spans="1:10" s="279" customFormat="1" ht="15" customHeight="1" x14ac:dyDescent="0.2">
      <c r="A26" s="300" t="s">
        <v>28</v>
      </c>
      <c r="B26" s="70"/>
      <c r="C26" s="404">
        <f>SUM(D26:J26)</f>
        <v>414.15914709408156</v>
      </c>
      <c r="D26" s="418">
        <f>'[1]MKT_94(R)'!$L$13</f>
        <v>390.83</v>
      </c>
      <c r="E26" s="418">
        <f>'[1]MKT_94(R)'!$L$55</f>
        <v>2.78</v>
      </c>
      <c r="F26" s="418">
        <f>'[1]MKT_94(R)'!$L$19</f>
        <v>10.63</v>
      </c>
      <c r="G26" s="418">
        <f>'[1]MKT_94(R)'!$L$36</f>
        <v>2.1</v>
      </c>
      <c r="H26" s="418">
        <f>'[1]MKT_94(R)'!$L$34</f>
        <v>0</v>
      </c>
      <c r="I26" s="418">
        <f>'[1]MKT_94(R)'!$L$51</f>
        <v>1.55</v>
      </c>
      <c r="J26" s="419">
        <f>'[1]MKT_94(R)'!$L$25</f>
        <v>6.2691470940816005</v>
      </c>
    </row>
    <row r="27" spans="1:10" s="279" customFormat="1" ht="15" customHeight="1" x14ac:dyDescent="0.2">
      <c r="A27" s="300" t="s">
        <v>29</v>
      </c>
      <c r="B27" s="70"/>
      <c r="C27" s="404">
        <f>SUM(D27:J27)</f>
        <v>626.47352317479556</v>
      </c>
      <c r="D27" s="418">
        <f>'[1]MKT_94(R)'!$M$13</f>
        <v>610.13</v>
      </c>
      <c r="E27" s="418">
        <f>'[1]MKT_94(R)'!$M$55</f>
        <v>14.43</v>
      </c>
      <c r="F27" s="418">
        <f>'[1]MKT_94(R)'!$M$19</f>
        <v>22.2</v>
      </c>
      <c r="G27" s="418">
        <f>'[1]MKT_94(R)'!$M$36</f>
        <v>7.22</v>
      </c>
      <c r="H27" s="418">
        <f>'[1]MKT_94(R)'!$M$34</f>
        <v>0</v>
      </c>
      <c r="I27" s="418">
        <f>'[1]MKT_94(R)'!$M$51</f>
        <v>5.12</v>
      </c>
      <c r="J27" s="419">
        <f>'[1]MKT_94(R)'!$M$25</f>
        <v>-32.626476825204485</v>
      </c>
    </row>
    <row r="28" spans="1:10" s="279" customFormat="1" ht="15" customHeight="1" x14ac:dyDescent="0.2">
      <c r="A28" s="300" t="s">
        <v>30</v>
      </c>
      <c r="B28" s="70"/>
      <c r="C28" s="404">
        <f>SUM(D28:J28)</f>
        <v>728.47682891163561</v>
      </c>
      <c r="D28" s="418">
        <f>'[1]MKT_94(R)'!$N$13</f>
        <v>656.98</v>
      </c>
      <c r="E28" s="418">
        <f>'[1]MKT_94(R)'!$N$55</f>
        <v>8.02</v>
      </c>
      <c r="F28" s="418">
        <f>'[1]MKT_94(R)'!$N$19</f>
        <v>20.63</v>
      </c>
      <c r="G28" s="418">
        <f>'[1]MKT_94(R)'!$N$36</f>
        <v>25.93</v>
      </c>
      <c r="H28" s="418">
        <f>'[1]MKT_94(R)'!$N$34</f>
        <v>0</v>
      </c>
      <c r="I28" s="418">
        <f>'[1]MKT_94(R)'!$N$51</f>
        <v>6.78</v>
      </c>
      <c r="J28" s="419">
        <f>'[1]MKT_94(R)'!$N$25</f>
        <v>10.136828911635678</v>
      </c>
    </row>
    <row r="29" spans="1:10" s="279" customFormat="1" ht="15" customHeight="1" x14ac:dyDescent="0.2">
      <c r="A29" s="72">
        <v>1997</v>
      </c>
      <c r="B29" s="70"/>
      <c r="C29" s="402"/>
      <c r="D29" s="402"/>
      <c r="E29" s="402"/>
      <c r="F29" s="402"/>
      <c r="G29" s="402"/>
      <c r="H29" s="402"/>
      <c r="I29" s="402"/>
      <c r="J29" s="403"/>
    </row>
    <row r="30" spans="1:10" s="279" customFormat="1" ht="15" customHeight="1" x14ac:dyDescent="0.2">
      <c r="A30" s="300" t="s">
        <v>27</v>
      </c>
      <c r="B30" s="70"/>
      <c r="C30" s="404">
        <f>SUM(D30:J30)</f>
        <v>545.6391161356629</v>
      </c>
      <c r="D30" s="418">
        <f>'[1]MKT_94(R)'!$O$13</f>
        <v>390.55</v>
      </c>
      <c r="E30" s="418">
        <f>'[1]MKT_94(R)'!$O$55</f>
        <v>8.99</v>
      </c>
      <c r="F30" s="418">
        <f>'[1]MKT_94(R)'!$O$19</f>
        <v>25.7</v>
      </c>
      <c r="G30" s="418">
        <f>'[1]MKT_94(R)'!$O$36</f>
        <v>8.49</v>
      </c>
      <c r="H30" s="418">
        <f>'[1]MKT_94(R)'!$O$34</f>
        <v>0</v>
      </c>
      <c r="I30" s="418">
        <f>'[1]MKT_94(R)'!$O$51</f>
        <v>6.34</v>
      </c>
      <c r="J30" s="419">
        <f>'[1]MKT_94(R)'!$O$25</f>
        <v>105.56911613566287</v>
      </c>
    </row>
    <row r="31" spans="1:10" s="279" customFormat="1" ht="15" customHeight="1" x14ac:dyDescent="0.2">
      <c r="A31" s="300" t="s">
        <v>28</v>
      </c>
      <c r="B31" s="70"/>
      <c r="C31" s="404">
        <f>SUM(D31:J31)</f>
        <v>643.144657404334</v>
      </c>
      <c r="D31" s="418">
        <f>'[1]MKT_94(R)'!$P$13</f>
        <v>600.09</v>
      </c>
      <c r="E31" s="418">
        <f>'[1]MKT_94(R)'!$P$55</f>
        <v>9.19</v>
      </c>
      <c r="F31" s="418">
        <f>'[1]MKT_94(R)'!$P$19</f>
        <v>5.56</v>
      </c>
      <c r="G31" s="418">
        <f>'[1]MKT_94(R)'!$P$36</f>
        <v>4.7699999999999996</v>
      </c>
      <c r="H31" s="418">
        <f>'[1]MKT_94(R)'!$P$34</f>
        <v>0</v>
      </c>
      <c r="I31" s="418">
        <f>'[1]MKT_94(R)'!$P$51</f>
        <v>3.51</v>
      </c>
      <c r="J31" s="419">
        <f>'[1]MKT_94(R)'!$P$25</f>
        <v>20.024657404334008</v>
      </c>
    </row>
    <row r="32" spans="1:10" s="279" customFormat="1" ht="15" customHeight="1" x14ac:dyDescent="0.2">
      <c r="A32" s="300" t="s">
        <v>29</v>
      </c>
      <c r="B32" s="70"/>
      <c r="C32" s="404">
        <f>SUM(D32:J32)</f>
        <v>455.24348842296024</v>
      </c>
      <c r="D32" s="418">
        <f>'[1]MKT_94(R)'!$Q$13</f>
        <v>515.33000000000004</v>
      </c>
      <c r="E32" s="418">
        <f>'[1]MKT_94(R)'!$Q$55</f>
        <v>5.42</v>
      </c>
      <c r="F32" s="418">
        <f>'[1]MKT_94(R)'!$Q$19</f>
        <v>1.1499999999999999</v>
      </c>
      <c r="G32" s="418">
        <f>'[1]MKT_94(R)'!$Q$36</f>
        <v>12.43</v>
      </c>
      <c r="H32" s="418">
        <f>'[1]MKT_94(R)'!$Q$34</f>
        <v>0</v>
      </c>
      <c r="I32" s="418">
        <f>'[1]MKT_94(R)'!$Q$51</f>
        <v>4.79</v>
      </c>
      <c r="J32" s="419">
        <f>'[1]MKT_94(R)'!$Q$25</f>
        <v>-83.876511577039651</v>
      </c>
    </row>
    <row r="33" spans="1:10" s="279" customFormat="1" ht="15" customHeight="1" x14ac:dyDescent="0.2">
      <c r="A33" s="300" t="s">
        <v>30</v>
      </c>
      <c r="B33" s="70"/>
      <c r="C33" s="404">
        <f>SUM(D33:J33)</f>
        <v>1146.8691719342605</v>
      </c>
      <c r="D33" s="418">
        <f>'[1]MKT_94(R)'!$R$13</f>
        <v>1076.1399999999999</v>
      </c>
      <c r="E33" s="418">
        <f>'[1]MKT_94(R)'!$R$55</f>
        <v>21.4</v>
      </c>
      <c r="F33" s="418">
        <f>'[1]MKT_94(R)'!$R$19</f>
        <v>50.64</v>
      </c>
      <c r="G33" s="418">
        <f>'[1]MKT_94(R)'!$R$36</f>
        <v>25.88</v>
      </c>
      <c r="H33" s="418">
        <f>'[1]MKT_94(R)'!$R$34</f>
        <v>0</v>
      </c>
      <c r="I33" s="418">
        <f>'[1]MKT_94(R)'!$R$51</f>
        <v>14.73</v>
      </c>
      <c r="J33" s="419">
        <f>'[1]MKT_94(R)'!$R$25</f>
        <v>-41.92082806573957</v>
      </c>
    </row>
    <row r="34" spans="1:10" s="279" customFormat="1" ht="15" customHeight="1" x14ac:dyDescent="0.2">
      <c r="A34" s="72">
        <v>1998</v>
      </c>
      <c r="B34" s="70"/>
      <c r="C34" s="402"/>
      <c r="D34" s="402"/>
      <c r="E34" s="402"/>
      <c r="F34" s="402"/>
      <c r="G34" s="402"/>
      <c r="H34" s="402"/>
      <c r="I34" s="402"/>
      <c r="J34" s="403"/>
    </row>
    <row r="35" spans="1:10" s="279" customFormat="1" ht="15" customHeight="1" x14ac:dyDescent="0.2">
      <c r="A35" s="300" t="s">
        <v>27</v>
      </c>
      <c r="B35" s="70"/>
      <c r="C35" s="404">
        <f>SUM(D35:J35)</f>
        <v>914.44953488372096</v>
      </c>
      <c r="D35" s="418">
        <f>'[1]MKT_94(R)'!$S$13</f>
        <v>514.04</v>
      </c>
      <c r="E35" s="418">
        <f>'[1]MKT_94(R)'!$S$55</f>
        <v>2.37</v>
      </c>
      <c r="F35" s="418">
        <f>'[1]MKT_94(R)'!$S$19</f>
        <v>19.010000000000002</v>
      </c>
      <c r="G35" s="418">
        <f>'[1]MKT_94(R)'!$S$36</f>
        <v>6.14</v>
      </c>
      <c r="H35" s="418">
        <f>'[1]MKT_94(R)'!$S$34</f>
        <v>0</v>
      </c>
      <c r="I35" s="418">
        <f>'[1]MKT_94(R)'!$S$51</f>
        <v>2.25</v>
      </c>
      <c r="J35" s="419">
        <f>'[1]MKT_94(R)'!$S$25</f>
        <v>370.63953488372101</v>
      </c>
    </row>
    <row r="36" spans="1:10" s="279" customFormat="1" ht="15" customHeight="1" x14ac:dyDescent="0.2">
      <c r="A36" s="300" t="s">
        <v>28</v>
      </c>
      <c r="B36" s="70"/>
      <c r="C36" s="404">
        <f>SUM(D36:J36)</f>
        <v>238.36066730154414</v>
      </c>
      <c r="D36" s="418">
        <f>'[1]MKT_94(R)'!$T$13</f>
        <v>219.5</v>
      </c>
      <c r="E36" s="418">
        <f>'[1]MKT_94(R)'!$T$55</f>
        <v>2.5299999999999998</v>
      </c>
      <c r="F36" s="418">
        <f>'[1]MKT_94(R)'!$T$19</f>
        <v>8.41</v>
      </c>
      <c r="G36" s="418">
        <f>'[1]MKT_94(R)'!$T$36</f>
        <v>4.8</v>
      </c>
      <c r="H36" s="418">
        <f>'[1]MKT_94(R)'!$T$34</f>
        <v>0</v>
      </c>
      <c r="I36" s="418">
        <f>'[1]MKT_94(R)'!$T$51</f>
        <v>5.93</v>
      </c>
      <c r="J36" s="419">
        <f>'[1]MKT_94(R)'!$T$25</f>
        <v>-2.8093326984558846</v>
      </c>
    </row>
    <row r="37" spans="1:10" s="279" customFormat="1" ht="15" customHeight="1" x14ac:dyDescent="0.2">
      <c r="A37" s="300" t="s">
        <v>29</v>
      </c>
      <c r="B37" s="70"/>
      <c r="C37" s="404">
        <f>SUM(D37:J37)</f>
        <v>378.97487131974458</v>
      </c>
      <c r="D37" s="418">
        <f>'[1]MKT_94(R)'!$U$13</f>
        <v>430.42999999999995</v>
      </c>
      <c r="E37" s="418">
        <f>'[1]MKT_94(R)'!$U$55</f>
        <v>4.76</v>
      </c>
      <c r="F37" s="418">
        <f>'[1]MKT_94(R)'!$U$19</f>
        <v>6.29</v>
      </c>
      <c r="G37" s="418">
        <f>'[1]MKT_94(R)'!$U$36</f>
        <v>8.5299999999999994</v>
      </c>
      <c r="H37" s="418">
        <f>'[1]MKT_94(R)'!$U$34</f>
        <v>0</v>
      </c>
      <c r="I37" s="418">
        <f>'[1]MKT_94(R)'!$U$51</f>
        <v>3.34</v>
      </c>
      <c r="J37" s="419">
        <f>'[1]MKT_94(R)'!$U$25</f>
        <v>-74.375128680255301</v>
      </c>
    </row>
    <row r="38" spans="1:10" s="279" customFormat="1" ht="15" customHeight="1" x14ac:dyDescent="0.2">
      <c r="A38" s="300" t="s">
        <v>30</v>
      </c>
      <c r="B38" s="70"/>
      <c r="C38" s="404">
        <f>SUM(D38:J38)</f>
        <v>500.06839865621509</v>
      </c>
      <c r="D38" s="418">
        <f>'[1]MKT_94(R)'!$V$13</f>
        <v>505.78</v>
      </c>
      <c r="E38" s="418">
        <f>'[1]MKT_94(R)'!$V$55</f>
        <v>3.77</v>
      </c>
      <c r="F38" s="418">
        <f>'[1]MKT_94(R)'!$V$19</f>
        <v>16.7</v>
      </c>
      <c r="G38" s="418">
        <f>'[1]MKT_94(R)'!$V$36</f>
        <v>28.49</v>
      </c>
      <c r="H38" s="418">
        <f>'[1]MKT_94(R)'!$V$34</f>
        <v>0</v>
      </c>
      <c r="I38" s="418">
        <f>'[1]MKT_94(R)'!$V$51</f>
        <v>4.07</v>
      </c>
      <c r="J38" s="419">
        <f>'[1]MKT_94(R)'!$V$25</f>
        <v>-58.741601343784986</v>
      </c>
    </row>
    <row r="39" spans="1:10" s="279" customFormat="1" ht="15" customHeight="1" x14ac:dyDescent="0.2">
      <c r="A39" s="72">
        <v>1999</v>
      </c>
      <c r="B39" s="70"/>
      <c r="C39" s="402"/>
      <c r="D39" s="402"/>
      <c r="E39" s="402"/>
      <c r="F39" s="402"/>
      <c r="G39" s="402"/>
      <c r="H39" s="402"/>
      <c r="I39" s="402"/>
      <c r="J39" s="403"/>
    </row>
    <row r="40" spans="1:10" s="279" customFormat="1" ht="15" customHeight="1" x14ac:dyDescent="0.2">
      <c r="A40" s="300" t="s">
        <v>27</v>
      </c>
      <c r="B40" s="70"/>
      <c r="C40" s="404">
        <f>SUM(D40:J40)</f>
        <v>628.79634902780003</v>
      </c>
      <c r="D40" s="418">
        <f>'[1]MKT_94(R)'!$W$13</f>
        <v>623.83000000000004</v>
      </c>
      <c r="E40" s="418">
        <f>'[1]MKT_94(R)'!$W$55</f>
        <v>4.9000000000000004</v>
      </c>
      <c r="F40" s="418">
        <f>'[1]MKT_94(R)'!$W$19</f>
        <v>4.2699999999999996</v>
      </c>
      <c r="G40" s="418">
        <f>'[1]MKT_94(R)'!$W$36</f>
        <v>14.35</v>
      </c>
      <c r="H40" s="418">
        <f>'[1]MKT_94(R)'!$W$34</f>
        <v>0</v>
      </c>
      <c r="I40" s="418">
        <f>'[1]MKT_94(R)'!$W$51</f>
        <v>0.81</v>
      </c>
      <c r="J40" s="419">
        <f>'[1]MKT_94(R)'!$W$25</f>
        <v>-19.36365097219991</v>
      </c>
    </row>
    <row r="41" spans="1:10" s="279" customFormat="1" ht="15" customHeight="1" x14ac:dyDescent="0.2">
      <c r="A41" s="300" t="s">
        <v>28</v>
      </c>
      <c r="B41" s="70"/>
      <c r="C41" s="404">
        <f>SUM(D41:J41)</f>
        <v>675.11612383375734</v>
      </c>
      <c r="D41" s="418">
        <f>'[1]MKT_94(R)'!$X$13</f>
        <v>710.24</v>
      </c>
      <c r="E41" s="418">
        <f>'[1]MKT_94(R)'!$X$55</f>
        <v>4.68</v>
      </c>
      <c r="F41" s="418">
        <f>'[1]MKT_94(R)'!$X$19</f>
        <v>0.49</v>
      </c>
      <c r="G41" s="418">
        <f>'[1]MKT_94(R)'!$X$36</f>
        <v>2.52</v>
      </c>
      <c r="H41" s="418">
        <f>'[1]MKT_94(R)'!$X$34</f>
        <v>0</v>
      </c>
      <c r="I41" s="418">
        <f>'[1]MKT_94(R)'!$X$51</f>
        <v>2.36</v>
      </c>
      <c r="J41" s="419">
        <f>'[1]MKT_94(R)'!$X$25</f>
        <v>-45.173876166242586</v>
      </c>
    </row>
    <row r="42" spans="1:10" s="279" customFormat="1" ht="15" customHeight="1" x14ac:dyDescent="0.2">
      <c r="A42" s="300" t="s">
        <v>29</v>
      </c>
      <c r="B42" s="70"/>
      <c r="C42" s="404">
        <f>SUM(D42:J42)</f>
        <v>1027.2311319250696</v>
      </c>
      <c r="D42" s="418">
        <f>'[1]MKT_94(R)'!$Y$13</f>
        <v>1051.47</v>
      </c>
      <c r="E42" s="418">
        <f>'[1]MKT_94(R)'!$Y$55</f>
        <v>4.83</v>
      </c>
      <c r="F42" s="418">
        <f>'[1]MKT_94(R)'!$Y$19</f>
        <v>1.58</v>
      </c>
      <c r="G42" s="418">
        <f>'[1]MKT_94(R)'!$Y$36</f>
        <v>5.78</v>
      </c>
      <c r="H42" s="418">
        <f>'[1]MKT_94(R)'!$Y$34</f>
        <v>0</v>
      </c>
      <c r="I42" s="418">
        <f>'[1]MKT_94(R)'!$Y$51</f>
        <v>8.33</v>
      </c>
      <c r="J42" s="419">
        <f>'[1]MKT_94(R)'!$Y$25</f>
        <v>-44.758868074930255</v>
      </c>
    </row>
    <row r="43" spans="1:10" s="279" customFormat="1" ht="15" customHeight="1" x14ac:dyDescent="0.2">
      <c r="A43" s="300" t="s">
        <v>30</v>
      </c>
      <c r="B43" s="70"/>
      <c r="C43" s="404">
        <f>SUM(D43:J43)</f>
        <v>1067.4224257425744</v>
      </c>
      <c r="D43" s="418">
        <f>'[1]MKT_94(R)'!$Z$13</f>
        <v>985.07</v>
      </c>
      <c r="E43" s="418">
        <f>'[1]MKT_94(R)'!$Z$55</f>
        <v>7.86</v>
      </c>
      <c r="F43" s="418">
        <f>'[1]MKT_94(R)'!$Z$19</f>
        <v>15.45</v>
      </c>
      <c r="G43" s="418">
        <f>'[1]MKT_94(R)'!$Z$36</f>
        <v>21.39</v>
      </c>
      <c r="H43" s="418">
        <f>'[1]MKT_94(R)'!$Z$34</f>
        <v>0</v>
      </c>
      <c r="I43" s="418">
        <f>'[1]MKT_94(R)'!$Z$51</f>
        <v>4.0199999999999996</v>
      </c>
      <c r="J43" s="419">
        <f>'[1]MKT_94(R)'!$Z$25</f>
        <v>33.632425742574227</v>
      </c>
    </row>
    <row r="44" spans="1:10" s="279" customFormat="1" ht="15" customHeight="1" x14ac:dyDescent="0.2">
      <c r="A44" s="72">
        <v>2000</v>
      </c>
      <c r="B44" s="70"/>
      <c r="C44" s="402"/>
      <c r="D44" s="402"/>
      <c r="E44" s="402"/>
      <c r="F44" s="402"/>
      <c r="G44" s="402"/>
      <c r="H44" s="402"/>
      <c r="I44" s="402"/>
      <c r="J44" s="403"/>
    </row>
    <row r="45" spans="1:10" s="279" customFormat="1" ht="15" customHeight="1" x14ac:dyDescent="0.2">
      <c r="A45" s="300" t="s">
        <v>27</v>
      </c>
      <c r="B45" s="70"/>
      <c r="C45" s="404">
        <f>SUM(D45:J45)</f>
        <v>695.60834054834061</v>
      </c>
      <c r="D45" s="418">
        <f>'[1]MKT_94(R)'!$AA$13</f>
        <v>356.74</v>
      </c>
      <c r="E45" s="418">
        <f>'[1]MKT_94(R)'!$AA$55</f>
        <v>1.93</v>
      </c>
      <c r="F45" s="418">
        <f>'[1]MKT_94(R)'!$AA$19</f>
        <v>42.05</v>
      </c>
      <c r="G45" s="418">
        <f>'[1]MKT_94(R)'!$AA$36</f>
        <v>3.16</v>
      </c>
      <c r="H45" s="418">
        <f>'[1]MKT_94(R)'!$AA$34</f>
        <v>0</v>
      </c>
      <c r="I45" s="418">
        <f>'[1]MKT_94(R)'!$AA$51</f>
        <v>1.18</v>
      </c>
      <c r="J45" s="419">
        <f>'[1]MKT_94(R)'!$AA$25</f>
        <v>290.54834054834055</v>
      </c>
    </row>
    <row r="46" spans="1:10" s="279" customFormat="1" ht="15" customHeight="1" x14ac:dyDescent="0.2">
      <c r="A46" s="300" t="s">
        <v>28</v>
      </c>
      <c r="B46" s="70"/>
      <c r="C46" s="404">
        <f>SUM(D46:J46)</f>
        <v>440.03241722620976</v>
      </c>
      <c r="D46" s="418">
        <f>'[1]MKT_94(R)'!$AB$13</f>
        <v>347.53000000000003</v>
      </c>
      <c r="E46" s="418">
        <f>'[1]MKT_94(R)'!$AB$55</f>
        <v>1.57</v>
      </c>
      <c r="F46" s="418">
        <f>'[1]MKT_94(R)'!$AB$19</f>
        <v>1.96</v>
      </c>
      <c r="G46" s="418">
        <f>'[1]MKT_94(R)'!$AB$36</f>
        <v>0.96</v>
      </c>
      <c r="H46" s="418">
        <f>'[1]MKT_94(R)'!$AB$34</f>
        <v>0</v>
      </c>
      <c r="I46" s="418">
        <f>'[1]MKT_94(R)'!$AB$51</f>
        <v>0.77</v>
      </c>
      <c r="J46" s="419">
        <f>'[1]MKT_94(R)'!$AB$25</f>
        <v>87.242417226209795</v>
      </c>
    </row>
    <row r="47" spans="1:10" s="279" customFormat="1" ht="15" customHeight="1" x14ac:dyDescent="0.2">
      <c r="A47" s="300" t="s">
        <v>29</v>
      </c>
      <c r="B47" s="70"/>
      <c r="C47" s="404">
        <f>SUM(D47:J47)</f>
        <v>308.65174949196387</v>
      </c>
      <c r="D47" s="418">
        <f>'[1]MKT_94(R)'!$AC$13</f>
        <v>390.61000000000007</v>
      </c>
      <c r="E47" s="418">
        <f>'[1]MKT_94(R)'!$AC$55</f>
        <v>1.55</v>
      </c>
      <c r="F47" s="418">
        <f>'[1]MKT_94(R)'!$AC$19</f>
        <v>1.43</v>
      </c>
      <c r="G47" s="418">
        <f>'[1]MKT_94(R)'!$AC$36</f>
        <v>0.48</v>
      </c>
      <c r="H47" s="418">
        <f>'[1]MKT_94(R)'!$AC$34</f>
        <v>0</v>
      </c>
      <c r="I47" s="418">
        <f>'[1]MKT_94(R)'!$AC$51</f>
        <v>1.77</v>
      </c>
      <c r="J47" s="419">
        <f>'[1]MKT_94(R)'!$AC$25</f>
        <v>-87.188250508036205</v>
      </c>
    </row>
    <row r="48" spans="1:10" s="279" customFormat="1" ht="15" customHeight="1" x14ac:dyDescent="0.2">
      <c r="A48" s="300" t="s">
        <v>30</v>
      </c>
      <c r="B48" s="70"/>
      <c r="C48" s="404">
        <f>SUM(D48:J48)</f>
        <v>224.30766415234331</v>
      </c>
      <c r="D48" s="418">
        <f>'[1]MKT_94(R)'!$AD$13</f>
        <v>291.31</v>
      </c>
      <c r="E48" s="418">
        <f>'[1]MKT_94(R)'!$AD$55</f>
        <v>1.99</v>
      </c>
      <c r="F48" s="418">
        <f>'[1]MKT_94(R)'!$AD$19</f>
        <v>2.48</v>
      </c>
      <c r="G48" s="418">
        <f>'[1]MKT_94(R)'!$AD$36</f>
        <v>8.23</v>
      </c>
      <c r="H48" s="418">
        <f>'[1]MKT_94(R)'!$AD$34</f>
        <v>0</v>
      </c>
      <c r="I48" s="418">
        <f>'[1]MKT_94(R)'!$AD$51</f>
        <v>5.83</v>
      </c>
      <c r="J48" s="419">
        <f>'[1]MKT_94(R)'!$AD$25</f>
        <v>-85.532335847656725</v>
      </c>
    </row>
    <row r="49" spans="1:34" s="279" customFormat="1" ht="15" customHeight="1" x14ac:dyDescent="0.2">
      <c r="A49" s="72">
        <v>2001</v>
      </c>
      <c r="B49" s="70"/>
      <c r="C49" s="404"/>
      <c r="D49" s="418"/>
      <c r="E49" s="418"/>
      <c r="F49" s="418"/>
      <c r="G49" s="418"/>
      <c r="H49" s="418"/>
      <c r="I49" s="418"/>
      <c r="J49" s="419"/>
    </row>
    <row r="50" spans="1:34" s="279" customFormat="1" ht="15" customHeight="1" x14ac:dyDescent="0.2">
      <c r="A50" s="300" t="s">
        <v>27</v>
      </c>
      <c r="B50" s="70"/>
      <c r="C50" s="404">
        <f>SUM(D50:J50)</f>
        <v>322.49120403749089</v>
      </c>
      <c r="D50" s="418">
        <f>'[1]MKT_94(R)'!$AE$13</f>
        <v>165.63</v>
      </c>
      <c r="E50" s="418">
        <f>'[1]MKT_94(R)'!$AE$55</f>
        <v>2.81</v>
      </c>
      <c r="F50" s="418">
        <f>'[1]MKT_94(R)'!$AE$19</f>
        <v>7.84</v>
      </c>
      <c r="G50" s="418">
        <f>'[1]MKT_94(R)'!$AE$36</f>
        <v>1.73</v>
      </c>
      <c r="H50" s="418">
        <f>'[1]MKT_94(R)'!$AE$34</f>
        <v>0</v>
      </c>
      <c r="I50" s="418">
        <f>'[1]MKT_94(R)'!$AE$51</f>
        <v>3.89</v>
      </c>
      <c r="J50" s="419">
        <f>'[1]MKT_94(R)'!$AE$25</f>
        <v>140.59120403749094</v>
      </c>
      <c r="K50" s="502"/>
    </row>
    <row r="51" spans="1:34" s="279" customFormat="1" ht="15" customHeight="1" x14ac:dyDescent="0.2">
      <c r="A51" s="300" t="s">
        <v>28</v>
      </c>
      <c r="B51" s="70"/>
      <c r="C51" s="404">
        <f>SUM(D51:J51)</f>
        <v>340.8071794871795</v>
      </c>
      <c r="D51" s="418">
        <f>'[1]MKT_94(R)'!$AF$13</f>
        <v>115.75999999999999</v>
      </c>
      <c r="E51" s="418">
        <f>'[1]MKT_94(R)'!$AF$55</f>
        <v>1.01</v>
      </c>
      <c r="F51" s="418">
        <f>'[1]MKT_94(R)'!$AF$19</f>
        <v>1.48</v>
      </c>
      <c r="G51" s="418">
        <f>'[1]MKT_94(R)'!$AF$36</f>
        <v>0.32</v>
      </c>
      <c r="H51" s="418">
        <f>'[1]MKT_94(R)'!$AF$34</f>
        <v>0</v>
      </c>
      <c r="I51" s="418">
        <f>'[1]MKT_94(R)'!$AF$51</f>
        <v>2.75</v>
      </c>
      <c r="J51" s="419">
        <f>'[1]MKT_94(R)'!$AF$25</f>
        <v>219.48717948717947</v>
      </c>
      <c r="K51" s="502"/>
    </row>
    <row r="52" spans="1:34" s="279" customFormat="1" ht="15" customHeight="1" x14ac:dyDescent="0.2">
      <c r="A52" s="300" t="s">
        <v>29</v>
      </c>
      <c r="B52" s="70"/>
      <c r="C52" s="404">
        <f>SUM(D52:J52)</f>
        <v>243.38310758166017</v>
      </c>
      <c r="D52" s="418">
        <f>'[1]MKT_94(R)'!$AG$13</f>
        <v>250</v>
      </c>
      <c r="E52" s="418">
        <f>'[1]MKT_94(R)'!$AG$55</f>
        <v>1.33</v>
      </c>
      <c r="F52" s="418">
        <f>'[1]MKT_94(R)'!$AG$19</f>
        <v>5.47</v>
      </c>
      <c r="G52" s="418">
        <f>'[1]MKT_94(R)'!$AG$36</f>
        <v>0.51</v>
      </c>
      <c r="H52" s="418">
        <f>'[1]MKT_94(R)'!$AG$34</f>
        <v>0</v>
      </c>
      <c r="I52" s="418">
        <f>'[1]MKT_94(R)'!$AG$51</f>
        <v>7.08</v>
      </c>
      <c r="J52" s="419">
        <f>'[1]MKT_94(R)'!$AG$25</f>
        <v>-21.006892418339831</v>
      </c>
      <c r="K52" s="502"/>
    </row>
    <row r="53" spans="1:34" s="279" customFormat="1" ht="15" customHeight="1" x14ac:dyDescent="0.2">
      <c r="A53" s="300" t="s">
        <v>30</v>
      </c>
      <c r="B53" s="70"/>
      <c r="C53" s="404">
        <f>SUM(D53:J53)</f>
        <v>257.16098983413582</v>
      </c>
      <c r="D53" s="418">
        <f>'[1]MKT_94(R)'!$AH$13</f>
        <v>256.7</v>
      </c>
      <c r="E53" s="418">
        <f>'[1]MKT_94(R)'!$AH$55</f>
        <v>1.03</v>
      </c>
      <c r="F53" s="418">
        <f>'[1]MKT_94(R)'!$AH$19</f>
        <v>5.59</v>
      </c>
      <c r="G53" s="418">
        <f>'[1]MKT_94(R)'!$AH$36</f>
        <v>14.97</v>
      </c>
      <c r="H53" s="418">
        <f>'[1]MKT_94(R)'!$AH$34</f>
        <v>0</v>
      </c>
      <c r="I53" s="418">
        <f>'[1]MKT_94(R)'!$AH$51</f>
        <v>2.52</v>
      </c>
      <c r="J53" s="419">
        <f>'[1]MKT_94(R)'!$AH$25</f>
        <v>-23.649010165864102</v>
      </c>
      <c r="K53" s="502"/>
    </row>
    <row r="54" spans="1:34" ht="15" customHeight="1" x14ac:dyDescent="0.2">
      <c r="A54" s="251" t="s">
        <v>50</v>
      </c>
      <c r="B54" s="74"/>
      <c r="C54" s="74"/>
      <c r="D54" s="74"/>
      <c r="E54" s="73"/>
      <c r="F54" s="73"/>
      <c r="G54" s="73"/>
      <c r="H54" s="73"/>
      <c r="I54" s="73"/>
      <c r="J54" s="73"/>
      <c r="K54" s="75"/>
    </row>
    <row r="55" spans="1:34" ht="13.5" customHeight="1" x14ac:dyDescent="0.2">
      <c r="A55" s="276" t="s">
        <v>35</v>
      </c>
      <c r="B55" s="77"/>
      <c r="C55" s="77"/>
      <c r="D55" s="76"/>
    </row>
    <row r="56" spans="1:34" ht="13.8" x14ac:dyDescent="0.2">
      <c r="A56" s="50"/>
      <c r="B56" s="76"/>
      <c r="C56" s="76"/>
      <c r="D56" s="76"/>
    </row>
    <row r="57" spans="1:34" s="279" customFormat="1" ht="12.75" customHeight="1" x14ac:dyDescent="0.2">
      <c r="B57" s="280"/>
      <c r="C57" s="322"/>
      <c r="D57" s="323"/>
      <c r="E57" s="322"/>
      <c r="F57" s="322"/>
      <c r="G57" s="322"/>
    </row>
    <row r="60" spans="1:34" x14ac:dyDescent="0.2">
      <c r="D60" s="78"/>
    </row>
    <row r="61" spans="1:34" x14ac:dyDescent="0.2">
      <c r="N61" s="78"/>
      <c r="X61" s="78"/>
      <c r="AH61" s="78"/>
    </row>
    <row r="63" spans="1:34" x14ac:dyDescent="0.2">
      <c r="D63" s="79" t="s">
        <v>56</v>
      </c>
      <c r="E63" s="79" t="s">
        <v>56</v>
      </c>
      <c r="F63" s="79" t="s">
        <v>56</v>
      </c>
    </row>
    <row r="64" spans="1:34" x14ac:dyDescent="0.2">
      <c r="A64" s="79" t="s">
        <v>56</v>
      </c>
      <c r="B64" s="79"/>
      <c r="C64" s="79"/>
    </row>
    <row r="66" spans="1:3" x14ac:dyDescent="0.2">
      <c r="A66" s="76" t="s">
        <v>57</v>
      </c>
      <c r="B66" s="76"/>
      <c r="C66" s="76"/>
    </row>
    <row r="67" spans="1:3" x14ac:dyDescent="0.2">
      <c r="A67" s="79" t="s">
        <v>56</v>
      </c>
      <c r="B67" s="79"/>
      <c r="C67" s="79"/>
    </row>
    <row r="68" spans="1:3" x14ac:dyDescent="0.2">
      <c r="A68" s="76" t="s">
        <v>58</v>
      </c>
      <c r="B68" s="76"/>
      <c r="C68" s="76"/>
    </row>
    <row r="69" spans="1:3" x14ac:dyDescent="0.2">
      <c r="A69" s="76" t="s">
        <v>59</v>
      </c>
      <c r="B69" s="76"/>
      <c r="C69" s="76"/>
    </row>
    <row r="70" spans="1:3" x14ac:dyDescent="0.2">
      <c r="A70" s="76" t="s">
        <v>60</v>
      </c>
      <c r="B70" s="76"/>
      <c r="C70" s="76"/>
    </row>
    <row r="71" spans="1:3" x14ac:dyDescent="0.2">
      <c r="A71" s="76" t="s">
        <v>61</v>
      </c>
      <c r="B71" s="76"/>
      <c r="C71" s="76"/>
    </row>
    <row r="72" spans="1:3" x14ac:dyDescent="0.2">
      <c r="A72" s="76" t="s">
        <v>62</v>
      </c>
      <c r="B72" s="76"/>
      <c r="C72" s="76"/>
    </row>
  </sheetData>
  <mergeCells count="3">
    <mergeCell ref="A11:B11"/>
    <mergeCell ref="A12:B12"/>
    <mergeCell ref="A13:B13"/>
  </mergeCells>
  <phoneticPr fontId="2" type="noConversion"/>
  <printOptions gridLinesSet="0"/>
  <pageMargins left="0.59055118110236204" right="1.9685039370078701" top="0.59055118110236204" bottom="2.4409448818897599" header="0.5" footer="0.5"/>
  <pageSetup paperSize="9" orientation="portrait" horizontalDpi="4294967292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30" transitionEvaluation="1" codeName="Sheet2">
    <tabColor rgb="FF92D050"/>
    <pageSetUpPr fitToPage="1"/>
  </sheetPr>
  <dimension ref="A1:BD156"/>
  <sheetViews>
    <sheetView showGridLines="0" showOutlineSymbols="0" zoomScaleNormal="100" workbookViewId="0">
      <pane xSplit="1" ySplit="9" topLeftCell="B30" activePane="bottomRight" state="frozen"/>
      <selection activeCell="F113" sqref="F113"/>
      <selection pane="topRight" activeCell="F113" sqref="F113"/>
      <selection pane="bottomLeft" activeCell="F113" sqref="F113"/>
      <selection pane="bottomRight" activeCell="J51" sqref="J51"/>
    </sheetView>
  </sheetViews>
  <sheetFormatPr defaultColWidth="14" defaultRowHeight="10.199999999999999" outlineLevelRow="1" x14ac:dyDescent="0.2"/>
  <cols>
    <col min="1" max="1" width="14" style="1" customWidth="1"/>
    <col min="2" max="3" width="22" style="1" customWidth="1"/>
    <col min="4" max="4" width="22" style="1" customWidth="1" collapsed="1"/>
    <col min="5" max="7" width="22" style="1" customWidth="1"/>
    <col min="8" max="8" width="22" style="1" customWidth="1" collapsed="1"/>
    <col min="9" max="9" width="14" style="605"/>
    <col min="10" max="10" width="18.83203125" style="705" customWidth="1"/>
    <col min="11" max="11" width="12" style="605" customWidth="1"/>
    <col min="12" max="15" width="13" style="605" customWidth="1"/>
    <col min="16" max="43" width="14" style="605"/>
    <col min="44" max="45" width="14" style="1"/>
    <col min="46" max="46" width="1" style="1" customWidth="1"/>
    <col min="47" max="47" width="5.6640625" style="1" hidden="1" customWidth="1"/>
    <col min="48" max="48" width="4.33203125" style="1" hidden="1" customWidth="1"/>
    <col min="49" max="49" width="4.83203125" style="1" hidden="1" customWidth="1"/>
    <col min="50" max="50" width="4.1640625" style="1" hidden="1" customWidth="1"/>
    <col min="51" max="51" width="4" style="1" hidden="1" customWidth="1"/>
    <col min="52" max="52" width="4.33203125" style="1" hidden="1" customWidth="1"/>
    <col min="53" max="53" width="5" style="1" hidden="1" customWidth="1"/>
    <col min="54" max="54" width="5.33203125" style="1" hidden="1" customWidth="1"/>
    <col min="55" max="55" width="5.83203125" style="1" hidden="1" customWidth="1"/>
    <col min="56" max="56" width="4.6640625" style="1" hidden="1" customWidth="1"/>
    <col min="57" max="16384" width="14" style="1"/>
  </cols>
  <sheetData>
    <row r="1" spans="1:43" ht="20.100000000000001" customHeight="1" x14ac:dyDescent="0.3">
      <c r="A1" s="293"/>
      <c r="B1" s="293"/>
      <c r="C1" s="293"/>
      <c r="D1" s="293"/>
      <c r="E1" s="293"/>
      <c r="F1" s="293"/>
      <c r="G1" s="293"/>
      <c r="H1" s="632" t="s">
        <v>296</v>
      </c>
      <c r="J1" s="698"/>
    </row>
    <row r="2" spans="1:43" ht="15" customHeight="1" x14ac:dyDescent="0.25">
      <c r="A2" s="609" t="s">
        <v>0</v>
      </c>
      <c r="B2" s="607"/>
      <c r="C2" s="607"/>
      <c r="D2" s="607"/>
      <c r="E2" s="607"/>
      <c r="F2" s="607"/>
      <c r="G2" s="607"/>
      <c r="H2" s="607"/>
      <c r="J2" s="699"/>
    </row>
    <row r="3" spans="1:43" ht="15.9" customHeight="1" x14ac:dyDescent="0.2">
      <c r="A3" s="610" t="s">
        <v>1</v>
      </c>
      <c r="B3" s="608"/>
      <c r="C3" s="608"/>
      <c r="D3" s="608"/>
      <c r="E3" s="608"/>
      <c r="F3" s="608"/>
      <c r="G3" s="608"/>
      <c r="H3" s="608"/>
      <c r="J3" s="700"/>
    </row>
    <row r="4" spans="1:43" ht="12.75" customHeight="1" x14ac:dyDescent="0.2">
      <c r="A4" s="617"/>
      <c r="B4" s="618"/>
      <c r="C4" s="618"/>
      <c r="D4" s="618"/>
      <c r="E4" s="618"/>
      <c r="F4" s="618"/>
      <c r="G4" s="618"/>
      <c r="H4" s="618"/>
      <c r="J4" s="700"/>
    </row>
    <row r="5" spans="1:43" ht="15" customHeight="1" x14ac:dyDescent="0.2">
      <c r="A5" s="2" t="s">
        <v>2</v>
      </c>
      <c r="B5" s="3" t="s">
        <v>4</v>
      </c>
      <c r="C5" s="3" t="s">
        <v>3</v>
      </c>
      <c r="E5" s="791"/>
      <c r="F5" s="655"/>
      <c r="G5" s="791"/>
      <c r="H5" s="630" t="s">
        <v>5</v>
      </c>
      <c r="J5" s="701"/>
    </row>
    <row r="6" spans="1:43" ht="11.1" customHeight="1" x14ac:dyDescent="0.2">
      <c r="A6" s="4" t="s">
        <v>6</v>
      </c>
      <c r="B6" s="655" t="s">
        <v>8</v>
      </c>
      <c r="C6" s="655" t="s">
        <v>9</v>
      </c>
      <c r="D6" s="655" t="s">
        <v>3</v>
      </c>
      <c r="E6" s="655" t="s">
        <v>288</v>
      </c>
      <c r="F6" s="655" t="s">
        <v>291</v>
      </c>
      <c r="G6" s="655" t="s">
        <v>293</v>
      </c>
      <c r="H6" s="5" t="s">
        <v>10</v>
      </c>
      <c r="J6" s="701"/>
    </row>
    <row r="7" spans="1:43" ht="11.1" customHeight="1" x14ac:dyDescent="0.2">
      <c r="A7" s="6"/>
      <c r="B7" s="655" t="s">
        <v>11</v>
      </c>
      <c r="C7" s="655" t="s">
        <v>12</v>
      </c>
      <c r="D7" s="655" t="s">
        <v>7</v>
      </c>
      <c r="E7" s="655" t="s">
        <v>289</v>
      </c>
      <c r="F7" s="655" t="s">
        <v>289</v>
      </c>
      <c r="G7" s="655" t="s">
        <v>294</v>
      </c>
      <c r="H7" s="5" t="s">
        <v>13</v>
      </c>
      <c r="J7" s="702"/>
      <c r="L7" s="633"/>
    </row>
    <row r="8" spans="1:43" ht="11.1" customHeight="1" x14ac:dyDescent="0.2">
      <c r="A8" s="6"/>
      <c r="B8" s="603" t="s">
        <v>14</v>
      </c>
      <c r="C8" s="603"/>
      <c r="D8" s="603" t="s">
        <v>141</v>
      </c>
      <c r="E8" s="603"/>
      <c r="F8" s="603"/>
      <c r="G8" s="603"/>
      <c r="H8" s="631" t="s">
        <v>191</v>
      </c>
      <c r="J8" s="702"/>
    </row>
    <row r="9" spans="1:43" ht="15" customHeight="1" x14ac:dyDescent="0.2">
      <c r="A9" s="7"/>
      <c r="B9" s="8" t="s">
        <v>140</v>
      </c>
      <c r="C9" s="8" t="s">
        <v>143</v>
      </c>
      <c r="D9" s="8" t="s">
        <v>142</v>
      </c>
      <c r="E9" s="8" t="s">
        <v>290</v>
      </c>
      <c r="F9" s="8" t="s">
        <v>292</v>
      </c>
      <c r="G9" s="8" t="s">
        <v>295</v>
      </c>
      <c r="H9" s="9" t="s">
        <v>192</v>
      </c>
      <c r="J9" s="703"/>
    </row>
    <row r="10" spans="1:43" ht="15" customHeight="1" x14ac:dyDescent="0.2">
      <c r="A10" s="770" t="s">
        <v>148</v>
      </c>
      <c r="B10" s="724">
        <f>B38</f>
        <v>117.25</v>
      </c>
      <c r="C10" s="724" t="s">
        <v>220</v>
      </c>
      <c r="D10" s="724" t="s">
        <v>220</v>
      </c>
      <c r="E10" s="724" t="s">
        <v>220</v>
      </c>
      <c r="F10" s="724" t="s">
        <v>220</v>
      </c>
      <c r="G10" s="727">
        <f>SUM(G35:G38)</f>
        <v>5094</v>
      </c>
      <c r="H10" s="725">
        <f>SUM(H35:H38)</f>
        <v>1940</v>
      </c>
      <c r="J10" s="703"/>
    </row>
    <row r="11" spans="1:43" s="773" customFormat="1" ht="13.5" customHeight="1" outlineLevel="1" x14ac:dyDescent="0.2">
      <c r="A11" s="770" t="s">
        <v>149</v>
      </c>
      <c r="B11" s="724">
        <f>B42</f>
        <v>109.52</v>
      </c>
      <c r="C11" s="724" t="s">
        <v>220</v>
      </c>
      <c r="D11" s="727">
        <f>SUM(D39:D42)</f>
        <v>36176.055999999997</v>
      </c>
      <c r="E11" s="724" t="s">
        <v>220</v>
      </c>
      <c r="F11" s="724" t="s">
        <v>220</v>
      </c>
      <c r="G11" s="727">
        <f t="shared" ref="G11:H11" si="0">SUM(G39:G42)</f>
        <v>5517</v>
      </c>
      <c r="H11" s="725">
        <f t="shared" si="0"/>
        <v>2007</v>
      </c>
      <c r="I11" s="771"/>
      <c r="J11" s="772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71"/>
      <c r="Y11" s="771"/>
      <c r="Z11" s="771"/>
      <c r="AA11" s="771"/>
      <c r="AB11" s="771"/>
      <c r="AC11" s="771"/>
      <c r="AD11" s="771"/>
      <c r="AE11" s="771"/>
      <c r="AF11" s="771"/>
      <c r="AG11" s="771"/>
      <c r="AH11" s="771"/>
      <c r="AI11" s="771"/>
      <c r="AJ11" s="771"/>
      <c r="AK11" s="771"/>
      <c r="AL11" s="771"/>
      <c r="AM11" s="771"/>
      <c r="AN11" s="771"/>
      <c r="AO11" s="771"/>
      <c r="AP11" s="771"/>
      <c r="AQ11" s="771"/>
    </row>
    <row r="12" spans="1:43" s="773" customFormat="1" ht="13.5" customHeight="1" outlineLevel="1" x14ac:dyDescent="0.2">
      <c r="A12" s="774" t="s">
        <v>152</v>
      </c>
      <c r="B12" s="724">
        <f>B46</f>
        <v>114.95</v>
      </c>
      <c r="C12" s="724" t="s">
        <v>220</v>
      </c>
      <c r="D12" s="727">
        <f>SUM(D43:D46)</f>
        <v>35907.309000000001</v>
      </c>
      <c r="E12" s="724" t="s">
        <v>220</v>
      </c>
      <c r="F12" s="724" t="s">
        <v>220</v>
      </c>
      <c r="G12" s="727">
        <f t="shared" ref="G12" si="1">SUM(G43:G46)</f>
        <v>5436</v>
      </c>
      <c r="H12" s="725">
        <f>SUM(H43:H46)</f>
        <v>2093</v>
      </c>
      <c r="I12" s="771"/>
      <c r="J12" s="772"/>
      <c r="K12" s="771"/>
      <c r="L12" s="771"/>
      <c r="M12" s="771"/>
      <c r="N12" s="771"/>
      <c r="O12" s="771"/>
      <c r="P12" s="771"/>
      <c r="Q12" s="771"/>
      <c r="R12" s="771"/>
      <c r="S12" s="771"/>
      <c r="T12" s="771"/>
      <c r="U12" s="771"/>
      <c r="V12" s="771"/>
      <c r="W12" s="771"/>
      <c r="X12" s="771"/>
      <c r="Y12" s="771"/>
      <c r="Z12" s="771"/>
      <c r="AA12" s="771"/>
      <c r="AB12" s="771"/>
      <c r="AC12" s="771"/>
      <c r="AD12" s="771"/>
      <c r="AE12" s="771"/>
      <c r="AF12" s="771"/>
      <c r="AG12" s="771"/>
      <c r="AH12" s="771"/>
      <c r="AI12" s="771"/>
      <c r="AJ12" s="771"/>
      <c r="AK12" s="771"/>
      <c r="AL12" s="771"/>
      <c r="AM12" s="771"/>
      <c r="AN12" s="771"/>
      <c r="AO12" s="771"/>
      <c r="AP12" s="771"/>
      <c r="AQ12" s="771"/>
    </row>
    <row r="13" spans="1:43" s="773" customFormat="1" ht="13.5" customHeight="1" outlineLevel="1" x14ac:dyDescent="0.2">
      <c r="A13" s="774" t="s">
        <v>153</v>
      </c>
      <c r="B13" s="724">
        <f>B50</f>
        <v>150.74</v>
      </c>
      <c r="C13" s="724">
        <f>C50</f>
        <v>45.5</v>
      </c>
      <c r="D13" s="727">
        <f>SUM(D47:D50)</f>
        <v>38741.033000000003</v>
      </c>
      <c r="E13" s="724" t="s">
        <v>220</v>
      </c>
      <c r="F13" s="724" t="s">
        <v>220</v>
      </c>
      <c r="G13" s="727">
        <f t="shared" ref="G13" si="2">SUM(G47:G50)</f>
        <v>5526</v>
      </c>
      <c r="H13" s="725">
        <f>SUM(H47:H50)</f>
        <v>1987</v>
      </c>
      <c r="I13" s="771"/>
      <c r="J13" s="772"/>
      <c r="K13" s="771"/>
      <c r="L13" s="771"/>
      <c r="M13" s="771"/>
      <c r="N13" s="771"/>
      <c r="O13" s="771"/>
      <c r="P13" s="771"/>
      <c r="Q13" s="771"/>
      <c r="R13" s="771"/>
      <c r="S13" s="771"/>
      <c r="T13" s="771"/>
      <c r="U13" s="771"/>
      <c r="V13" s="771"/>
      <c r="W13" s="771"/>
      <c r="X13" s="771"/>
      <c r="Y13" s="771"/>
      <c r="Z13" s="771"/>
      <c r="AA13" s="771"/>
      <c r="AB13" s="771"/>
      <c r="AC13" s="771"/>
      <c r="AD13" s="771"/>
      <c r="AE13" s="771"/>
      <c r="AF13" s="771"/>
      <c r="AG13" s="771"/>
      <c r="AH13" s="771"/>
      <c r="AI13" s="771"/>
      <c r="AJ13" s="771"/>
      <c r="AK13" s="771"/>
      <c r="AL13" s="771"/>
      <c r="AM13" s="771"/>
      <c r="AN13" s="771"/>
      <c r="AO13" s="771"/>
      <c r="AP13" s="771"/>
      <c r="AQ13" s="771"/>
    </row>
    <row r="14" spans="1:43" s="773" customFormat="1" ht="13.5" customHeight="1" outlineLevel="1" x14ac:dyDescent="0.2">
      <c r="A14" s="774" t="s">
        <v>154</v>
      </c>
      <c r="B14" s="724">
        <f>B54</f>
        <v>171.74</v>
      </c>
      <c r="C14" s="724">
        <f>C54</f>
        <v>56.499999999999993</v>
      </c>
      <c r="D14" s="727">
        <f>SUM(D51:D54)</f>
        <v>41044.241999999998</v>
      </c>
      <c r="E14" s="724" t="s">
        <v>220</v>
      </c>
      <c r="F14" s="724" t="s">
        <v>220</v>
      </c>
      <c r="G14" s="727">
        <f t="shared" ref="G14" si="3">SUM(G51:G54)</f>
        <v>6351</v>
      </c>
      <c r="H14" s="725">
        <f>SUM(H51:H54)</f>
        <v>2015</v>
      </c>
      <c r="I14" s="771"/>
      <c r="J14" s="772"/>
      <c r="K14" s="771"/>
      <c r="L14" s="771"/>
      <c r="M14" s="771"/>
      <c r="N14" s="771"/>
      <c r="O14" s="771"/>
      <c r="P14" s="771"/>
      <c r="Q14" s="771"/>
      <c r="R14" s="771"/>
      <c r="S14" s="771"/>
      <c r="T14" s="771"/>
      <c r="U14" s="771"/>
      <c r="V14" s="771"/>
      <c r="W14" s="771"/>
      <c r="X14" s="771"/>
      <c r="Y14" s="771"/>
      <c r="Z14" s="771"/>
      <c r="AA14" s="771"/>
      <c r="AB14" s="771"/>
      <c r="AC14" s="771"/>
      <c r="AD14" s="771"/>
      <c r="AE14" s="771"/>
      <c r="AF14" s="771"/>
      <c r="AG14" s="771"/>
      <c r="AH14" s="771"/>
      <c r="AI14" s="771"/>
      <c r="AJ14" s="771"/>
      <c r="AK14" s="771"/>
      <c r="AL14" s="771"/>
      <c r="AM14" s="771"/>
      <c r="AN14" s="771"/>
      <c r="AO14" s="771"/>
      <c r="AP14" s="771"/>
      <c r="AQ14" s="771"/>
    </row>
    <row r="15" spans="1:43" s="773" customFormat="1" ht="13.5" customHeight="1" outlineLevel="1" x14ac:dyDescent="0.2">
      <c r="A15" s="774" t="s">
        <v>155</v>
      </c>
      <c r="B15" s="724">
        <f>B58</f>
        <v>221.98</v>
      </c>
      <c r="C15" s="724">
        <f>C58</f>
        <v>56.499999999999993</v>
      </c>
      <c r="D15" s="727">
        <f>SUM(D55:D58)</f>
        <v>46002.225999999995</v>
      </c>
      <c r="E15" s="724" t="s">
        <v>220</v>
      </c>
      <c r="F15" s="724" t="s">
        <v>220</v>
      </c>
      <c r="G15" s="727">
        <f t="shared" ref="G15" si="4">SUM(G55:G58)</f>
        <v>6097</v>
      </c>
      <c r="H15" s="725">
        <f>SUM(H55:H58)</f>
        <v>2075</v>
      </c>
      <c r="I15" s="771"/>
      <c r="J15" s="772"/>
      <c r="K15" s="771"/>
      <c r="L15" s="771"/>
      <c r="M15" s="771"/>
      <c r="N15" s="771"/>
      <c r="O15" s="771"/>
      <c r="P15" s="771"/>
      <c r="Q15" s="771"/>
      <c r="R15" s="771"/>
      <c r="S15" s="771"/>
      <c r="T15" s="771"/>
      <c r="U15" s="771"/>
      <c r="V15" s="771"/>
      <c r="W15" s="771"/>
      <c r="X15" s="771"/>
      <c r="Y15" s="771"/>
      <c r="Z15" s="771"/>
      <c r="AA15" s="771"/>
      <c r="AB15" s="771"/>
      <c r="AC15" s="771"/>
      <c r="AD15" s="771"/>
      <c r="AE15" s="771"/>
      <c r="AF15" s="771"/>
      <c r="AG15" s="771"/>
      <c r="AH15" s="771"/>
      <c r="AI15" s="771"/>
      <c r="AJ15" s="771"/>
      <c r="AK15" s="771"/>
      <c r="AL15" s="771"/>
      <c r="AM15" s="771"/>
      <c r="AN15" s="771"/>
      <c r="AO15" s="771"/>
      <c r="AP15" s="771"/>
      <c r="AQ15" s="771"/>
    </row>
    <row r="16" spans="1:43" s="773" customFormat="1" ht="13.5" customHeight="1" outlineLevel="1" x14ac:dyDescent="0.2">
      <c r="A16" s="774" t="s">
        <v>156</v>
      </c>
      <c r="B16" s="724">
        <f>B62</f>
        <v>227.83</v>
      </c>
      <c r="C16" s="724">
        <f>C62</f>
        <v>61.7</v>
      </c>
      <c r="D16" s="727">
        <f>SUM(D59:D62)</f>
        <v>44891.634000000005</v>
      </c>
      <c r="E16" s="724" t="s">
        <v>220</v>
      </c>
      <c r="F16" s="727">
        <f t="shared" ref="F16" si="5">SUM(F59:F62)</f>
        <v>806.05600000000004</v>
      </c>
      <c r="G16" s="727">
        <f t="shared" ref="G16" si="6">SUM(G59:G62)</f>
        <v>5986</v>
      </c>
      <c r="H16" s="725">
        <f>SUM(H59:H62)</f>
        <v>2068</v>
      </c>
      <c r="I16" s="771"/>
      <c r="J16" s="772"/>
      <c r="K16" s="771"/>
      <c r="L16" s="771"/>
      <c r="M16" s="771"/>
      <c r="N16" s="771"/>
      <c r="O16" s="771"/>
      <c r="P16" s="771"/>
      <c r="Q16" s="771"/>
      <c r="R16" s="771"/>
      <c r="S16" s="771"/>
      <c r="T16" s="771"/>
      <c r="U16" s="771"/>
      <c r="V16" s="771"/>
      <c r="W16" s="771"/>
      <c r="X16" s="771"/>
      <c r="Y16" s="771"/>
      <c r="Z16" s="771"/>
      <c r="AA16" s="771"/>
      <c r="AB16" s="771"/>
      <c r="AC16" s="771"/>
      <c r="AD16" s="771"/>
      <c r="AE16" s="771"/>
      <c r="AF16" s="771"/>
      <c r="AG16" s="771"/>
      <c r="AH16" s="771"/>
      <c r="AI16" s="771"/>
      <c r="AJ16" s="771"/>
      <c r="AK16" s="771"/>
      <c r="AL16" s="771"/>
      <c r="AM16" s="771"/>
      <c r="AN16" s="771"/>
      <c r="AO16" s="771"/>
      <c r="AP16" s="771"/>
      <c r="AQ16" s="771"/>
    </row>
    <row r="17" spans="1:43" s="773" customFormat="1" ht="13.5" customHeight="1" outlineLevel="1" x14ac:dyDescent="0.2">
      <c r="A17" s="774" t="s">
        <v>157</v>
      </c>
      <c r="B17" s="724">
        <f>B66</f>
        <v>308.74</v>
      </c>
      <c r="C17" s="724">
        <f>C66</f>
        <v>83.15</v>
      </c>
      <c r="D17" s="727">
        <f>SUM(D63:D66)</f>
        <v>47301.156999999999</v>
      </c>
      <c r="E17" s="727">
        <f>SUM(E63:E66)</f>
        <v>9510.9335900000005</v>
      </c>
      <c r="F17" s="727">
        <f t="shared" ref="F17" si="7">SUM(F63:F66)</f>
        <v>487.67999999999995</v>
      </c>
      <c r="G17" s="727">
        <f t="shared" ref="G17" si="8">SUM(G63:G66)</f>
        <v>5929</v>
      </c>
      <c r="H17" s="725">
        <f>SUM(H63:H66)</f>
        <v>1576</v>
      </c>
      <c r="I17" s="771"/>
      <c r="J17" s="772"/>
      <c r="K17" s="771"/>
      <c r="L17" s="771"/>
      <c r="M17" s="771"/>
      <c r="N17" s="771"/>
      <c r="O17" s="771"/>
      <c r="P17" s="771"/>
      <c r="Q17" s="771"/>
      <c r="R17" s="771"/>
      <c r="S17" s="771"/>
      <c r="T17" s="771"/>
      <c r="U17" s="771"/>
      <c r="V17" s="771"/>
      <c r="W17" s="771"/>
      <c r="X17" s="771"/>
      <c r="Y17" s="771"/>
      <c r="Z17" s="771"/>
      <c r="AA17" s="771"/>
      <c r="AB17" s="771"/>
      <c r="AC17" s="771"/>
      <c r="AD17" s="771"/>
      <c r="AE17" s="771"/>
      <c r="AF17" s="771"/>
      <c r="AG17" s="771"/>
      <c r="AH17" s="771"/>
      <c r="AI17" s="771"/>
      <c r="AJ17" s="771"/>
      <c r="AK17" s="771"/>
      <c r="AL17" s="771"/>
      <c r="AM17" s="771"/>
      <c r="AN17" s="771"/>
      <c r="AO17" s="771"/>
      <c r="AP17" s="771"/>
      <c r="AQ17" s="771"/>
    </row>
    <row r="18" spans="1:43" s="773" customFormat="1" ht="13.5" customHeight="1" collapsed="1" x14ac:dyDescent="0.2">
      <c r="A18" s="774" t="s">
        <v>158</v>
      </c>
      <c r="B18" s="724">
        <f>B70</f>
        <v>220.38</v>
      </c>
      <c r="C18" s="724">
        <f>C70</f>
        <v>62.79</v>
      </c>
      <c r="D18" s="727">
        <f>SUM(D67:D70)</f>
        <v>44538.711000000003</v>
      </c>
      <c r="E18" s="727">
        <f>SUM(E67:E70)</f>
        <v>7042.1873099999993</v>
      </c>
      <c r="F18" s="727">
        <f t="shared" ref="F18" si="9">SUM(F67:F70)</f>
        <v>308.91359399999999</v>
      </c>
      <c r="G18" s="727">
        <f t="shared" ref="G18" si="10">SUM(G67:G70)</f>
        <v>5141</v>
      </c>
      <c r="H18" s="725">
        <f>SUM(H67:H70)</f>
        <v>1131</v>
      </c>
      <c r="I18" s="771"/>
      <c r="J18" s="772"/>
      <c r="K18" s="771"/>
      <c r="L18" s="771"/>
      <c r="M18" s="771"/>
      <c r="N18" s="771"/>
      <c r="O18" s="771"/>
      <c r="P18" s="771"/>
      <c r="Q18" s="771"/>
      <c r="R18" s="771"/>
      <c r="S18" s="771"/>
      <c r="T18" s="771"/>
      <c r="U18" s="771"/>
      <c r="V18" s="771"/>
      <c r="W18" s="771"/>
      <c r="X18" s="771"/>
      <c r="Y18" s="771"/>
      <c r="Z18" s="771"/>
      <c r="AA18" s="771"/>
      <c r="AB18" s="771"/>
      <c r="AC18" s="771"/>
      <c r="AD18" s="771"/>
      <c r="AE18" s="771"/>
      <c r="AF18" s="771"/>
      <c r="AG18" s="771"/>
      <c r="AH18" s="771"/>
      <c r="AI18" s="771"/>
      <c r="AJ18" s="771"/>
      <c r="AK18" s="771"/>
      <c r="AL18" s="771"/>
      <c r="AM18" s="771"/>
      <c r="AN18" s="771"/>
      <c r="AO18" s="771"/>
      <c r="AP18" s="771"/>
      <c r="AQ18" s="771"/>
    </row>
    <row r="19" spans="1:43" s="773" customFormat="1" ht="13.5" customHeight="1" x14ac:dyDescent="0.2">
      <c r="A19" s="774" t="s">
        <v>159</v>
      </c>
      <c r="B19" s="724">
        <f>B74</f>
        <v>251.39</v>
      </c>
      <c r="C19" s="724">
        <f>C74</f>
        <v>89.21</v>
      </c>
      <c r="D19" s="727">
        <f>SUM(D71:D74)</f>
        <v>42550.925499999998</v>
      </c>
      <c r="E19" s="727">
        <f t="shared" ref="E19:F19" si="11">SUM(E71:E74)</f>
        <v>5031.0131299999994</v>
      </c>
      <c r="F19" s="727">
        <f t="shared" si="11"/>
        <v>514.24484700000005</v>
      </c>
      <c r="G19" s="727">
        <f t="shared" ref="G19" si="12">SUM(G71:G74)</f>
        <v>5102</v>
      </c>
      <c r="H19" s="725">
        <f>SUM(H71:H74)</f>
        <v>1142</v>
      </c>
      <c r="I19" s="771"/>
      <c r="J19" s="772"/>
      <c r="K19" s="771"/>
      <c r="L19" s="771"/>
      <c r="M19" s="771"/>
      <c r="N19" s="771"/>
      <c r="O19" s="771"/>
      <c r="P19" s="771"/>
      <c r="Q19" s="771"/>
      <c r="R19" s="771"/>
      <c r="S19" s="771"/>
      <c r="T19" s="771"/>
      <c r="U19" s="771"/>
      <c r="V19" s="771"/>
      <c r="W19" s="771"/>
      <c r="X19" s="771"/>
      <c r="Y19" s="771"/>
      <c r="Z19" s="771"/>
      <c r="AA19" s="771"/>
      <c r="AB19" s="771"/>
      <c r="AC19" s="771"/>
      <c r="AD19" s="771"/>
      <c r="AE19" s="771"/>
      <c r="AF19" s="771"/>
      <c r="AG19" s="771"/>
      <c r="AH19" s="771"/>
      <c r="AI19" s="771"/>
      <c r="AJ19" s="771"/>
      <c r="AK19" s="771"/>
      <c r="AL19" s="771"/>
      <c r="AM19" s="771"/>
      <c r="AN19" s="771"/>
      <c r="AO19" s="771"/>
      <c r="AP19" s="771"/>
      <c r="AQ19" s="771"/>
    </row>
    <row r="20" spans="1:43" s="773" customFormat="1" ht="13.5" customHeight="1" x14ac:dyDescent="0.2">
      <c r="A20" s="774" t="s">
        <v>160</v>
      </c>
      <c r="B20" s="724">
        <f>B78</f>
        <v>290.3</v>
      </c>
      <c r="C20" s="724">
        <f>C78</f>
        <v>98</v>
      </c>
      <c r="D20" s="727">
        <f>SUM(D75:D78)</f>
        <v>44570.697</v>
      </c>
      <c r="E20" s="727">
        <f t="shared" ref="E20:F20" si="13">SUM(E75:E78)</f>
        <v>5976.201070000001</v>
      </c>
      <c r="F20" s="727">
        <f t="shared" si="13"/>
        <v>449.98228</v>
      </c>
      <c r="G20" s="727">
        <f t="shared" ref="G20" si="14">SUM(G75:G78)</f>
        <v>6016</v>
      </c>
      <c r="H20" s="725">
        <f>SUM(H75:H78)</f>
        <v>1029</v>
      </c>
      <c r="I20" s="771"/>
      <c r="J20" s="772"/>
      <c r="K20" s="771"/>
      <c r="L20" s="771"/>
      <c r="M20" s="771"/>
      <c r="N20" s="771"/>
      <c r="O20" s="771"/>
      <c r="P20" s="771"/>
      <c r="Q20" s="771"/>
      <c r="R20" s="771"/>
      <c r="S20" s="771"/>
      <c r="T20" s="771"/>
      <c r="U20" s="771"/>
      <c r="V20" s="771"/>
      <c r="W20" s="771"/>
      <c r="X20" s="771"/>
      <c r="Y20" s="771"/>
      <c r="Z20" s="771"/>
      <c r="AA20" s="771"/>
      <c r="AB20" s="771"/>
      <c r="AC20" s="771"/>
      <c r="AD20" s="771"/>
      <c r="AE20" s="771"/>
      <c r="AF20" s="771"/>
      <c r="AG20" s="771"/>
      <c r="AH20" s="771"/>
      <c r="AI20" s="771"/>
      <c r="AJ20" s="771"/>
      <c r="AK20" s="771"/>
      <c r="AL20" s="771"/>
      <c r="AM20" s="771"/>
      <c r="AN20" s="771"/>
      <c r="AO20" s="771"/>
      <c r="AP20" s="771"/>
      <c r="AQ20" s="771"/>
    </row>
    <row r="21" spans="1:43" s="773" customFormat="1" ht="13.5" customHeight="1" x14ac:dyDescent="0.2">
      <c r="A21" s="774" t="s">
        <v>161</v>
      </c>
      <c r="B21" s="724">
        <f>B82</f>
        <v>283.94</v>
      </c>
      <c r="C21" s="724">
        <f>C82</f>
        <v>93.2</v>
      </c>
      <c r="D21" s="727">
        <f>SUM(D79:D82)</f>
        <v>44714.958999999995</v>
      </c>
      <c r="E21" s="727">
        <f t="shared" ref="E21:F21" si="15">SUM(E79:E82)</f>
        <v>8766.0539900000003</v>
      </c>
      <c r="F21" s="727">
        <f t="shared" si="15"/>
        <v>688.02433999999994</v>
      </c>
      <c r="G21" s="727">
        <f t="shared" ref="G21" si="16">SUM(G79:G82)</f>
        <v>5914</v>
      </c>
      <c r="H21" s="725">
        <f>SUM(H79:H82)</f>
        <v>1164</v>
      </c>
      <c r="I21" s="771"/>
      <c r="J21" s="772"/>
      <c r="K21" s="771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71"/>
      <c r="Y21" s="771"/>
      <c r="Z21" s="771"/>
      <c r="AA21" s="771"/>
      <c r="AB21" s="771"/>
      <c r="AC21" s="771"/>
      <c r="AD21" s="771"/>
      <c r="AE21" s="771"/>
      <c r="AF21" s="771"/>
      <c r="AG21" s="771"/>
      <c r="AH21" s="771"/>
      <c r="AI21" s="771"/>
      <c r="AJ21" s="771"/>
      <c r="AK21" s="771"/>
      <c r="AL21" s="771"/>
      <c r="AM21" s="771"/>
      <c r="AN21" s="771"/>
      <c r="AO21" s="771"/>
      <c r="AP21" s="771"/>
      <c r="AQ21" s="771"/>
    </row>
    <row r="22" spans="1:43" s="773" customFormat="1" ht="13.5" customHeight="1" x14ac:dyDescent="0.2">
      <c r="A22" s="774" t="s">
        <v>163</v>
      </c>
      <c r="B22" s="724">
        <f>B86</f>
        <v>275.45</v>
      </c>
      <c r="C22" s="724">
        <f>C86</f>
        <v>89.25</v>
      </c>
      <c r="D22" s="727">
        <f>SUM(D83:D86)</f>
        <v>46388.330999999991</v>
      </c>
      <c r="E22" s="727">
        <f t="shared" ref="E22:F22" si="17">SUM(E83:E86)</f>
        <v>9777.6391000000003</v>
      </c>
      <c r="F22" s="727">
        <f t="shared" si="17"/>
        <v>1355.8695400000001</v>
      </c>
      <c r="G22" s="727">
        <f t="shared" ref="G22" si="18">SUM(G83:G86)</f>
        <v>6241</v>
      </c>
      <c r="H22" s="725">
        <f>SUM(H83:H86)</f>
        <v>1407</v>
      </c>
      <c r="I22" s="771"/>
      <c r="J22" s="772"/>
      <c r="K22" s="771"/>
      <c r="L22" s="771"/>
      <c r="M22" s="771"/>
      <c r="N22" s="771"/>
      <c r="O22" s="771"/>
      <c r="P22" s="771"/>
      <c r="Q22" s="771"/>
      <c r="R22" s="771"/>
      <c r="S22" s="771"/>
      <c r="T22" s="771"/>
      <c r="U22" s="771"/>
      <c r="V22" s="771"/>
      <c r="W22" s="771"/>
      <c r="X22" s="771"/>
      <c r="Y22" s="771"/>
      <c r="Z22" s="771"/>
      <c r="AA22" s="771"/>
      <c r="AB22" s="771"/>
      <c r="AC22" s="771"/>
      <c r="AD22" s="771"/>
      <c r="AE22" s="771"/>
      <c r="AF22" s="771"/>
      <c r="AG22" s="771"/>
      <c r="AH22" s="771"/>
      <c r="AI22" s="771"/>
      <c r="AJ22" s="771"/>
      <c r="AK22" s="771"/>
      <c r="AL22" s="771"/>
      <c r="AM22" s="771"/>
      <c r="AN22" s="771"/>
      <c r="AO22" s="771"/>
      <c r="AP22" s="771"/>
      <c r="AQ22" s="771"/>
    </row>
    <row r="23" spans="1:43" s="773" customFormat="1" ht="13.5" customHeight="1" x14ac:dyDescent="0.2">
      <c r="A23" s="774" t="s">
        <v>164</v>
      </c>
      <c r="B23" s="724">
        <f>B90</f>
        <v>288.54000000000002</v>
      </c>
      <c r="C23" s="724">
        <f>C90</f>
        <v>91.73</v>
      </c>
      <c r="D23" s="727">
        <f>SUM(D87:D90)</f>
        <v>47817.82</v>
      </c>
      <c r="E23" s="727">
        <f t="shared" ref="E23:F23" si="19">SUM(E87:E90)</f>
        <v>10344.402329999999</v>
      </c>
      <c r="F23" s="727">
        <f t="shared" si="19"/>
        <v>509.64973999999995</v>
      </c>
      <c r="G23" s="727">
        <f t="shared" ref="G23" si="20">SUM(G87:G90)</f>
        <v>7329</v>
      </c>
      <c r="H23" s="725">
        <f>SUM(H87:H90)</f>
        <v>1759</v>
      </c>
      <c r="I23" s="771"/>
      <c r="J23" s="772"/>
      <c r="K23" s="771"/>
      <c r="L23" s="771"/>
      <c r="M23" s="771"/>
      <c r="N23" s="771"/>
      <c r="O23" s="771"/>
      <c r="P23" s="771"/>
      <c r="Q23" s="771"/>
      <c r="R23" s="771"/>
      <c r="S23" s="771"/>
      <c r="T23" s="771"/>
      <c r="U23" s="771"/>
      <c r="V23" s="771"/>
      <c r="W23" s="771"/>
      <c r="X23" s="771"/>
      <c r="Y23" s="771"/>
      <c r="Z23" s="771"/>
      <c r="AA23" s="771"/>
      <c r="AB23" s="771"/>
      <c r="AC23" s="771"/>
      <c r="AD23" s="771"/>
      <c r="AE23" s="771"/>
      <c r="AF23" s="771"/>
      <c r="AG23" s="771"/>
      <c r="AH23" s="771"/>
      <c r="AI23" s="771"/>
      <c r="AJ23" s="771"/>
      <c r="AK23" s="771"/>
      <c r="AL23" s="771"/>
      <c r="AM23" s="771"/>
      <c r="AN23" s="771"/>
      <c r="AO23" s="771"/>
      <c r="AP23" s="771"/>
      <c r="AQ23" s="771"/>
    </row>
    <row r="24" spans="1:43" s="773" customFormat="1" ht="13.5" customHeight="1" x14ac:dyDescent="0.2">
      <c r="A24" s="775" t="s">
        <v>166</v>
      </c>
      <c r="B24" s="724">
        <f>B94</f>
        <v>250.08</v>
      </c>
      <c r="C24" s="724">
        <f>C94</f>
        <v>80.150000000000006</v>
      </c>
      <c r="D24" s="727">
        <f>SUM(D91:D94)</f>
        <v>49159.866999999991</v>
      </c>
      <c r="E24" s="727">
        <f t="shared" ref="E24:F24" si="21">SUM(E91:E94)</f>
        <v>8356.1833799999986</v>
      </c>
      <c r="F24" s="727">
        <f t="shared" si="21"/>
        <v>994.15018999999995</v>
      </c>
      <c r="G24" s="727">
        <f t="shared" ref="G24" si="22">SUM(G91:G94)</f>
        <v>8450</v>
      </c>
      <c r="H24" s="725">
        <f>SUM(H91:H94)</f>
        <v>2268</v>
      </c>
      <c r="I24" s="771"/>
      <c r="J24" s="772"/>
      <c r="K24" s="771"/>
      <c r="L24" s="771"/>
      <c r="M24" s="771"/>
      <c r="N24" s="771"/>
      <c r="O24" s="771"/>
      <c r="P24" s="771"/>
      <c r="Q24" s="771"/>
      <c r="R24" s="771"/>
      <c r="S24" s="771"/>
      <c r="T24" s="771"/>
      <c r="U24" s="771"/>
      <c r="V24" s="771"/>
      <c r="W24" s="771"/>
      <c r="X24" s="771"/>
      <c r="Y24" s="771"/>
      <c r="Z24" s="771"/>
      <c r="AA24" s="771"/>
      <c r="AB24" s="771"/>
      <c r="AC24" s="771"/>
      <c r="AD24" s="771"/>
      <c r="AE24" s="771"/>
      <c r="AF24" s="771"/>
      <c r="AG24" s="771"/>
      <c r="AH24" s="771"/>
      <c r="AI24" s="771"/>
      <c r="AJ24" s="771"/>
      <c r="AK24" s="771"/>
      <c r="AL24" s="771"/>
      <c r="AM24" s="771"/>
      <c r="AN24" s="771"/>
      <c r="AO24" s="771"/>
      <c r="AP24" s="771"/>
      <c r="AQ24" s="771"/>
    </row>
    <row r="25" spans="1:43" s="773" customFormat="1" ht="13.5" customHeight="1" x14ac:dyDescent="0.2">
      <c r="A25" s="775" t="s">
        <v>168</v>
      </c>
      <c r="B25" s="724">
        <f>B98</f>
        <v>225.12</v>
      </c>
      <c r="C25" s="724">
        <f>C98</f>
        <v>69.989999999999995</v>
      </c>
      <c r="D25" s="727">
        <f>SUM(D95:D98)</f>
        <v>53341.935000000005</v>
      </c>
      <c r="E25" s="727">
        <f t="shared" ref="E25:F25" si="23">SUM(E95:E98)</f>
        <v>8716.7913599999993</v>
      </c>
      <c r="F25" s="727">
        <f t="shared" si="23"/>
        <v>1718.731</v>
      </c>
      <c r="G25" s="727">
        <f t="shared" ref="G25" si="24">SUM(G95:G98)</f>
        <v>9839</v>
      </c>
      <c r="H25" s="725">
        <f>SUM(H95:H98)</f>
        <v>3038</v>
      </c>
      <c r="I25" s="771"/>
      <c r="J25" s="772"/>
      <c r="K25" s="771"/>
      <c r="L25" s="771"/>
      <c r="M25" s="771"/>
      <c r="N25" s="771"/>
      <c r="O25" s="771"/>
      <c r="P25" s="771"/>
      <c r="Q25" s="771"/>
      <c r="R25" s="771"/>
      <c r="S25" s="771"/>
      <c r="T25" s="771"/>
      <c r="U25" s="771"/>
      <c r="V25" s="771"/>
      <c r="W25" s="771"/>
      <c r="X25" s="771"/>
      <c r="Y25" s="771"/>
      <c r="Z25" s="771"/>
      <c r="AA25" s="771"/>
      <c r="AB25" s="771"/>
      <c r="AC25" s="771"/>
      <c r="AD25" s="771"/>
      <c r="AE25" s="771"/>
      <c r="AF25" s="771"/>
      <c r="AG25" s="771"/>
      <c r="AH25" s="771"/>
      <c r="AI25" s="771"/>
      <c r="AJ25" s="771"/>
      <c r="AK25" s="771"/>
      <c r="AL25" s="771"/>
      <c r="AM25" s="771"/>
      <c r="AN25" s="771"/>
      <c r="AO25" s="771"/>
      <c r="AP25" s="771"/>
      <c r="AQ25" s="771"/>
    </row>
    <row r="26" spans="1:43" s="773" customFormat="1" ht="13.5" customHeight="1" x14ac:dyDescent="0.2">
      <c r="A26" s="775" t="s">
        <v>173</v>
      </c>
      <c r="B26" s="724">
        <f>B102</f>
        <v>249.53</v>
      </c>
      <c r="C26" s="724">
        <f>C102</f>
        <v>85.86</v>
      </c>
      <c r="D26" s="727">
        <f>SUM(D99:D102)</f>
        <v>59279.675000000003</v>
      </c>
      <c r="E26" s="727">
        <f t="shared" ref="E26:F26" si="25">SUM(E99:E102)</f>
        <v>11592.708150000002</v>
      </c>
      <c r="F26" s="727">
        <f t="shared" si="25"/>
        <v>2610.663</v>
      </c>
      <c r="G26" s="727">
        <f t="shared" ref="G26" si="26">SUM(G99:G102)</f>
        <v>10826</v>
      </c>
      <c r="H26" s="725">
        <f>SUM(H99:H102)</f>
        <v>3710</v>
      </c>
      <c r="I26" s="771"/>
      <c r="J26" s="772"/>
      <c r="K26" s="771"/>
      <c r="L26" s="771"/>
      <c r="M26" s="771"/>
      <c r="N26" s="771"/>
      <c r="O26" s="771"/>
      <c r="P26" s="771"/>
      <c r="Q26" s="771"/>
      <c r="R26" s="771"/>
      <c r="S26" s="771"/>
      <c r="T26" s="771"/>
      <c r="U26" s="771"/>
      <c r="V26" s="771"/>
      <c r="W26" s="771"/>
      <c r="X26" s="771"/>
      <c r="Y26" s="771"/>
      <c r="Z26" s="771"/>
      <c r="AA26" s="771"/>
      <c r="AB26" s="771"/>
      <c r="AC26" s="771"/>
      <c r="AD26" s="771"/>
      <c r="AE26" s="771"/>
      <c r="AF26" s="771"/>
      <c r="AG26" s="771"/>
      <c r="AH26" s="771"/>
      <c r="AI26" s="771"/>
      <c r="AJ26" s="771"/>
      <c r="AK26" s="771"/>
      <c r="AL26" s="771"/>
      <c r="AM26" s="771"/>
      <c r="AN26" s="771"/>
      <c r="AO26" s="771"/>
      <c r="AP26" s="771"/>
      <c r="AQ26" s="771"/>
    </row>
    <row r="27" spans="1:43" s="773" customFormat="1" ht="13.5" customHeight="1" x14ac:dyDescent="0.2">
      <c r="A27" s="775" t="s">
        <v>174</v>
      </c>
      <c r="B27" s="724">
        <f>B106</f>
        <v>290.43</v>
      </c>
      <c r="C27" s="724">
        <f>C106</f>
        <v>81.2</v>
      </c>
      <c r="D27" s="727">
        <f>SUM(D103:D106)</f>
        <v>57880.523000000001</v>
      </c>
      <c r="E27" s="727">
        <f t="shared" ref="E27:F27" si="27">SUM(E103:E106)</f>
        <v>13146.776679999999</v>
      </c>
      <c r="F27" s="727">
        <f t="shared" si="27"/>
        <v>1196.4290000000001</v>
      </c>
      <c r="G27" s="727">
        <f t="shared" ref="G27" si="28">SUM(G103:G106)</f>
        <v>11683</v>
      </c>
      <c r="H27" s="725">
        <f>SUM(H103:H106)</f>
        <v>3699</v>
      </c>
      <c r="I27" s="771"/>
      <c r="J27" s="772"/>
      <c r="K27" s="771"/>
      <c r="L27" s="771"/>
      <c r="M27" s="771"/>
      <c r="N27" s="771"/>
      <c r="O27" s="771"/>
      <c r="P27" s="771"/>
      <c r="Q27" s="771"/>
      <c r="R27" s="771"/>
      <c r="S27" s="771"/>
      <c r="T27" s="771"/>
      <c r="U27" s="771"/>
      <c r="V27" s="771"/>
      <c r="W27" s="771"/>
      <c r="X27" s="771"/>
      <c r="Y27" s="771"/>
      <c r="Z27" s="771"/>
      <c r="AA27" s="771"/>
      <c r="AB27" s="771"/>
      <c r="AC27" s="771"/>
      <c r="AD27" s="771"/>
      <c r="AE27" s="771"/>
      <c r="AF27" s="771"/>
      <c r="AG27" s="771"/>
      <c r="AH27" s="771"/>
      <c r="AI27" s="771"/>
      <c r="AJ27" s="771"/>
      <c r="AK27" s="771"/>
      <c r="AL27" s="771"/>
      <c r="AM27" s="771"/>
      <c r="AN27" s="771"/>
      <c r="AO27" s="771"/>
      <c r="AP27" s="771"/>
      <c r="AQ27" s="771"/>
    </row>
    <row r="28" spans="1:43" s="773" customFormat="1" ht="13.5" customHeight="1" outlineLevel="1" x14ac:dyDescent="0.2">
      <c r="A28" s="775" t="s">
        <v>187</v>
      </c>
      <c r="B28" s="724">
        <f>B110</f>
        <v>275.89</v>
      </c>
      <c r="C28" s="724">
        <f>C110</f>
        <v>79.900000000000006</v>
      </c>
      <c r="D28" s="727">
        <f>SUM(D107:D110)</f>
        <v>62791.942999999999</v>
      </c>
      <c r="E28" s="727">
        <f t="shared" ref="E28:F28" si="29">SUM(E107:E110)</f>
        <v>9112.469939999999</v>
      </c>
      <c r="F28" s="727">
        <f t="shared" si="29"/>
        <v>1758.23</v>
      </c>
      <c r="G28" s="727">
        <f t="shared" ref="G28" si="30">SUM(G107:G110)</f>
        <v>13656</v>
      </c>
      <c r="H28" s="725">
        <f>SUM(H107:H110)</f>
        <v>3590</v>
      </c>
      <c r="I28" s="771"/>
      <c r="J28" s="772"/>
      <c r="K28" s="771"/>
      <c r="L28" s="771"/>
      <c r="M28" s="771"/>
      <c r="N28" s="771"/>
      <c r="O28" s="771"/>
      <c r="P28" s="771"/>
      <c r="Q28" s="771"/>
      <c r="R28" s="771"/>
      <c r="S28" s="771"/>
      <c r="T28" s="771"/>
      <c r="U28" s="771"/>
      <c r="V28" s="771"/>
      <c r="W28" s="771"/>
      <c r="X28" s="771"/>
      <c r="Y28" s="771"/>
      <c r="Z28" s="771"/>
      <c r="AA28" s="771"/>
      <c r="AB28" s="771"/>
      <c r="AC28" s="771"/>
      <c r="AD28" s="771"/>
      <c r="AE28" s="771"/>
      <c r="AF28" s="771"/>
      <c r="AG28" s="771"/>
      <c r="AH28" s="771"/>
      <c r="AI28" s="771"/>
      <c r="AJ28" s="771"/>
      <c r="AK28" s="771"/>
      <c r="AL28" s="771"/>
      <c r="AM28" s="771"/>
      <c r="AN28" s="771"/>
      <c r="AO28" s="771"/>
      <c r="AP28" s="771"/>
      <c r="AQ28" s="771"/>
    </row>
    <row r="29" spans="1:43" s="773" customFormat="1" ht="13.5" customHeight="1" outlineLevel="1" x14ac:dyDescent="0.2">
      <c r="A29" s="775" t="s">
        <v>188</v>
      </c>
      <c r="B29" s="724">
        <f>B114</f>
        <v>196.58</v>
      </c>
      <c r="C29" s="724">
        <f>C114</f>
        <v>73</v>
      </c>
      <c r="D29" s="727">
        <f>SUM(D111:D114)</f>
        <v>65181.917000000001</v>
      </c>
      <c r="E29" s="727">
        <f t="shared" ref="E29:F29" si="31">SUM(E111:E114)</f>
        <v>13218.239590000001</v>
      </c>
      <c r="F29" s="727">
        <f t="shared" si="31"/>
        <v>1910.2930000000001</v>
      </c>
      <c r="G29" s="727">
        <f t="shared" ref="G29" si="32">SUM(G111:G114)</f>
        <v>11175</v>
      </c>
      <c r="H29" s="725">
        <f>SUM(H111:H114)</f>
        <v>3017</v>
      </c>
      <c r="I29" s="771"/>
      <c r="J29" s="772"/>
      <c r="K29" s="771"/>
      <c r="L29" s="771"/>
      <c r="M29" s="771"/>
      <c r="N29" s="771"/>
      <c r="O29" s="771"/>
      <c r="P29" s="771"/>
      <c r="Q29" s="771"/>
      <c r="R29" s="771"/>
      <c r="S29" s="771"/>
      <c r="T29" s="771"/>
      <c r="U29" s="771"/>
      <c r="V29" s="771"/>
      <c r="W29" s="771"/>
      <c r="X29" s="771"/>
      <c r="Y29" s="771"/>
      <c r="Z29" s="771"/>
      <c r="AA29" s="771"/>
      <c r="AB29" s="771"/>
      <c r="AC29" s="771"/>
      <c r="AD29" s="771"/>
      <c r="AE29" s="771"/>
      <c r="AF29" s="771"/>
      <c r="AG29" s="771"/>
      <c r="AH29" s="771"/>
      <c r="AI29" s="771"/>
      <c r="AJ29" s="771"/>
      <c r="AK29" s="771"/>
      <c r="AL29" s="771"/>
      <c r="AM29" s="771"/>
      <c r="AN29" s="771"/>
      <c r="AO29" s="771"/>
      <c r="AP29" s="771"/>
      <c r="AQ29" s="771"/>
    </row>
    <row r="30" spans="1:43" s="773" customFormat="1" ht="13.5" customHeight="1" outlineLevel="1" x14ac:dyDescent="0.2">
      <c r="A30" s="775" t="s">
        <v>189</v>
      </c>
      <c r="B30" s="724">
        <f>B118</f>
        <v>289.76</v>
      </c>
      <c r="C30" s="724">
        <f>C118</f>
        <v>73.040000000000006</v>
      </c>
      <c r="D30" s="727">
        <f>SUM(D115:D118)</f>
        <v>67264.362999999998</v>
      </c>
      <c r="E30" s="727">
        <f t="shared" ref="E30:F30" si="33">SUM(E115:E118)</f>
        <v>10579.689460000001</v>
      </c>
      <c r="F30" s="727">
        <f t="shared" si="33"/>
        <v>1454.2727500000001</v>
      </c>
      <c r="G30" s="727">
        <f t="shared" ref="G30" si="34">SUM(G115:G118)</f>
        <v>11898</v>
      </c>
      <c r="H30" s="725">
        <f>SUM(H115:H118)</f>
        <v>3196</v>
      </c>
      <c r="I30" s="771"/>
      <c r="J30" s="772"/>
      <c r="K30" s="771"/>
      <c r="L30" s="771"/>
      <c r="M30" s="771"/>
      <c r="N30" s="771"/>
      <c r="O30" s="771"/>
      <c r="P30" s="771"/>
      <c r="Q30" s="771"/>
      <c r="R30" s="771"/>
      <c r="S30" s="771"/>
      <c r="T30" s="771"/>
      <c r="U30" s="771"/>
      <c r="V30" s="771"/>
      <c r="W30" s="771"/>
      <c r="X30" s="771"/>
      <c r="Y30" s="771"/>
      <c r="Z30" s="771"/>
      <c r="AA30" s="771"/>
      <c r="AB30" s="771"/>
      <c r="AC30" s="771"/>
      <c r="AD30" s="771"/>
      <c r="AE30" s="771"/>
      <c r="AF30" s="771"/>
      <c r="AG30" s="771"/>
      <c r="AH30" s="771"/>
      <c r="AI30" s="771"/>
      <c r="AJ30" s="771"/>
      <c r="AK30" s="771"/>
      <c r="AL30" s="771"/>
      <c r="AM30" s="771"/>
      <c r="AN30" s="771"/>
      <c r="AO30" s="771"/>
      <c r="AP30" s="771"/>
      <c r="AQ30" s="771"/>
    </row>
    <row r="31" spans="1:43" s="773" customFormat="1" ht="13.5" customHeight="1" outlineLevel="1" x14ac:dyDescent="0.2">
      <c r="A31" s="775" t="s">
        <v>190</v>
      </c>
      <c r="B31" s="724">
        <f>B122</f>
        <v>428</v>
      </c>
      <c r="C31" s="724">
        <f>C122</f>
        <v>97.91</v>
      </c>
      <c r="D31" s="727">
        <f>SUM(D119:D122)</f>
        <v>69525.357000000004</v>
      </c>
      <c r="E31" s="727">
        <f t="shared" ref="E31:F31" si="35">SUM(E119:E122)</f>
        <v>9149.4100799999997</v>
      </c>
      <c r="F31" s="727">
        <f t="shared" si="35"/>
        <v>1026.001</v>
      </c>
      <c r="G31" s="727">
        <f t="shared" ref="G31" si="36">SUM(G119:G122)</f>
        <v>9768</v>
      </c>
      <c r="H31" s="725">
        <f>SUM(H119:H122)</f>
        <v>2702</v>
      </c>
      <c r="I31" s="771"/>
      <c r="J31" s="772"/>
      <c r="K31" s="771"/>
      <c r="L31" s="771"/>
      <c r="M31" s="771"/>
      <c r="N31" s="771"/>
      <c r="O31" s="771"/>
      <c r="P31" s="771"/>
      <c r="Q31" s="771"/>
      <c r="R31" s="771"/>
      <c r="S31" s="771"/>
      <c r="T31" s="771"/>
      <c r="U31" s="771"/>
      <c r="V31" s="771"/>
      <c r="W31" s="771"/>
      <c r="X31" s="771"/>
      <c r="Y31" s="771"/>
      <c r="Z31" s="771"/>
      <c r="AA31" s="771"/>
      <c r="AB31" s="771"/>
      <c r="AC31" s="771"/>
      <c r="AD31" s="771"/>
      <c r="AE31" s="771"/>
      <c r="AF31" s="771"/>
      <c r="AG31" s="771"/>
      <c r="AH31" s="771"/>
      <c r="AI31" s="771"/>
      <c r="AJ31" s="771"/>
      <c r="AK31" s="771"/>
      <c r="AL31" s="771"/>
      <c r="AM31" s="771"/>
      <c r="AN31" s="771"/>
      <c r="AO31" s="771"/>
      <c r="AP31" s="771"/>
      <c r="AQ31" s="771"/>
    </row>
    <row r="32" spans="1:43" s="773" customFormat="1" ht="13.5" customHeight="1" outlineLevel="1" x14ac:dyDescent="0.2">
      <c r="A32" s="775" t="s">
        <v>285</v>
      </c>
      <c r="B32" s="724">
        <f>B126</f>
        <v>335</v>
      </c>
      <c r="C32" s="724">
        <f>C126</f>
        <v>91.86</v>
      </c>
      <c r="D32" s="727">
        <f>SUM(D123:D126)</f>
        <v>72443.290999999997</v>
      </c>
      <c r="E32" s="727">
        <f t="shared" ref="E32:F32" si="37">SUM(E123:E126)</f>
        <v>8079.7253099999998</v>
      </c>
      <c r="F32" s="727">
        <f t="shared" si="37"/>
        <v>1799.058</v>
      </c>
      <c r="G32" s="727">
        <f t="shared" ref="G32" si="38">SUM(G123:G126)</f>
        <v>10558</v>
      </c>
      <c r="H32" s="725">
        <f>SUM(H123:H126)</f>
        <v>3005</v>
      </c>
      <c r="I32" s="771"/>
      <c r="J32" s="772"/>
      <c r="K32" s="771"/>
      <c r="L32" s="771"/>
      <c r="M32" s="771"/>
      <c r="N32" s="771"/>
      <c r="O32" s="771"/>
      <c r="P32" s="771"/>
      <c r="Q32" s="771"/>
      <c r="R32" s="771"/>
      <c r="S32" s="771"/>
      <c r="T32" s="771"/>
      <c r="U32" s="771"/>
      <c r="V32" s="771"/>
      <c r="W32" s="771"/>
      <c r="X32" s="771"/>
      <c r="Y32" s="771"/>
      <c r="Z32" s="771"/>
      <c r="AA32" s="771"/>
      <c r="AB32" s="771"/>
      <c r="AC32" s="771"/>
      <c r="AD32" s="771"/>
      <c r="AE32" s="771"/>
      <c r="AF32" s="771"/>
      <c r="AG32" s="771"/>
      <c r="AH32" s="771"/>
      <c r="AI32" s="771"/>
      <c r="AJ32" s="771"/>
      <c r="AK32" s="771"/>
      <c r="AL32" s="771"/>
      <c r="AM32" s="771"/>
      <c r="AN32" s="771"/>
      <c r="AO32" s="771"/>
      <c r="AP32" s="771"/>
      <c r="AQ32" s="771"/>
    </row>
    <row r="33" spans="1:43" s="773" customFormat="1" ht="13.5" customHeight="1" outlineLevel="1" x14ac:dyDescent="0.2">
      <c r="A33" s="775" t="s">
        <v>311</v>
      </c>
      <c r="B33" s="724">
        <f>B130</f>
        <v>355</v>
      </c>
      <c r="C33" s="724">
        <f>C130</f>
        <v>90.03</v>
      </c>
      <c r="D33" s="727">
        <f>SUM(D127:D130)</f>
        <v>75961.89</v>
      </c>
      <c r="E33" s="727">
        <f>SUM(E127:E130)</f>
        <v>6880.4761700000008</v>
      </c>
      <c r="F33" s="727">
        <f>SUM(F127:F130)</f>
        <v>1712.05</v>
      </c>
      <c r="G33" s="727">
        <f>SUM(G127:G130)</f>
        <v>12433</v>
      </c>
      <c r="H33" s="725">
        <f>SUM(H127:H130)</f>
        <v>3288</v>
      </c>
      <c r="I33" s="771"/>
      <c r="J33" s="772"/>
      <c r="K33" s="771"/>
      <c r="L33" s="771"/>
      <c r="M33" s="771"/>
      <c r="N33" s="771"/>
      <c r="O33" s="771"/>
      <c r="P33" s="771"/>
      <c r="Q33" s="771"/>
      <c r="R33" s="771"/>
      <c r="S33" s="771"/>
      <c r="T33" s="771"/>
      <c r="U33" s="771"/>
      <c r="V33" s="771"/>
      <c r="W33" s="771"/>
      <c r="X33" s="771"/>
      <c r="Y33" s="771"/>
      <c r="Z33" s="771"/>
      <c r="AA33" s="771"/>
      <c r="AB33" s="771"/>
      <c r="AC33" s="771"/>
      <c r="AD33" s="771"/>
      <c r="AE33" s="771"/>
      <c r="AF33" s="771"/>
      <c r="AG33" s="771"/>
      <c r="AH33" s="771"/>
      <c r="AI33" s="771"/>
      <c r="AJ33" s="771"/>
      <c r="AK33" s="771"/>
      <c r="AL33" s="771"/>
      <c r="AM33" s="771"/>
      <c r="AN33" s="771"/>
      <c r="AO33" s="771"/>
      <c r="AP33" s="771"/>
      <c r="AQ33" s="771"/>
    </row>
    <row r="34" spans="1:43" s="773" customFormat="1" ht="6" customHeight="1" outlineLevel="1" x14ac:dyDescent="0.2">
      <c r="A34" s="775"/>
      <c r="B34" s="724"/>
      <c r="C34" s="724"/>
      <c r="D34" s="727"/>
      <c r="E34" s="727"/>
      <c r="F34" s="727"/>
      <c r="G34" s="727"/>
      <c r="H34" s="725"/>
      <c r="I34" s="771"/>
      <c r="J34" s="772"/>
      <c r="K34" s="771"/>
      <c r="L34" s="771"/>
      <c r="M34" s="771"/>
      <c r="N34" s="771"/>
      <c r="O34" s="771"/>
      <c r="P34" s="771"/>
      <c r="Q34" s="771"/>
      <c r="R34" s="771"/>
      <c r="S34" s="771"/>
      <c r="T34" s="771"/>
      <c r="U34" s="771"/>
      <c r="V34" s="771"/>
      <c r="W34" s="771"/>
      <c r="X34" s="771"/>
      <c r="Y34" s="771"/>
      <c r="Z34" s="771"/>
      <c r="AA34" s="771"/>
      <c r="AB34" s="771"/>
      <c r="AC34" s="771"/>
      <c r="AD34" s="771"/>
      <c r="AE34" s="771"/>
      <c r="AF34" s="771"/>
      <c r="AG34" s="771"/>
      <c r="AH34" s="771"/>
      <c r="AI34" s="771"/>
      <c r="AJ34" s="771"/>
      <c r="AK34" s="771"/>
      <c r="AL34" s="771"/>
      <c r="AM34" s="771"/>
      <c r="AN34" s="771"/>
      <c r="AO34" s="771"/>
      <c r="AP34" s="771"/>
      <c r="AQ34" s="771"/>
    </row>
    <row r="35" spans="1:43" s="773" customFormat="1" ht="13.5" customHeight="1" outlineLevel="1" x14ac:dyDescent="0.2">
      <c r="A35" s="809" t="s">
        <v>318</v>
      </c>
      <c r="B35" s="726">
        <f>[2]Database!$G77</f>
        <v>105.69</v>
      </c>
      <c r="C35" s="724" t="s">
        <v>220</v>
      </c>
      <c r="D35" s="724" t="s">
        <v>220</v>
      </c>
      <c r="E35" s="734" t="s">
        <v>220</v>
      </c>
      <c r="F35" s="727" t="s">
        <v>220</v>
      </c>
      <c r="G35" s="734">
        <f>SUM([3]Database!$C$62:$C$64)</f>
        <v>1292</v>
      </c>
      <c r="H35" s="728">
        <f>SUM([4]Database!$C$133:$C$135)</f>
        <v>522</v>
      </c>
      <c r="I35" s="771"/>
      <c r="J35" s="772"/>
      <c r="K35" s="771"/>
      <c r="L35" s="771"/>
      <c r="M35" s="771"/>
      <c r="N35" s="771"/>
      <c r="O35" s="771"/>
      <c r="P35" s="771"/>
      <c r="Q35" s="771"/>
      <c r="R35" s="771"/>
      <c r="S35" s="771"/>
      <c r="T35" s="771"/>
      <c r="U35" s="771"/>
      <c r="V35" s="771"/>
      <c r="W35" s="771"/>
      <c r="X35" s="771"/>
      <c r="Y35" s="771"/>
      <c r="Z35" s="771"/>
      <c r="AA35" s="771"/>
      <c r="AB35" s="771"/>
      <c r="AC35" s="771"/>
      <c r="AD35" s="771"/>
      <c r="AE35" s="771"/>
      <c r="AF35" s="771"/>
      <c r="AG35" s="771"/>
      <c r="AH35" s="771"/>
      <c r="AI35" s="771"/>
      <c r="AJ35" s="771"/>
      <c r="AK35" s="771"/>
      <c r="AL35" s="771"/>
      <c r="AM35" s="771"/>
      <c r="AN35" s="771"/>
      <c r="AO35" s="771"/>
      <c r="AP35" s="771"/>
      <c r="AQ35" s="771"/>
    </row>
    <row r="36" spans="1:43" s="773" customFormat="1" ht="13.5" customHeight="1" outlineLevel="1" x14ac:dyDescent="0.2">
      <c r="A36" s="809" t="s">
        <v>314</v>
      </c>
      <c r="B36" s="726">
        <f>[2]Database!$G80</f>
        <v>111.69</v>
      </c>
      <c r="C36" s="724" t="s">
        <v>220</v>
      </c>
      <c r="D36" s="724" t="s">
        <v>220</v>
      </c>
      <c r="E36" s="734" t="s">
        <v>220</v>
      </c>
      <c r="F36" s="727" t="s">
        <v>220</v>
      </c>
      <c r="G36" s="734">
        <f>SUM([3]Database!$C$65:$C$67)</f>
        <v>1424</v>
      </c>
      <c r="H36" s="728">
        <f>SUM([4]Database!$C$136:$C$138)</f>
        <v>510</v>
      </c>
      <c r="I36" s="771"/>
      <c r="J36" s="772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771"/>
      <c r="Z36" s="771"/>
      <c r="AA36" s="771"/>
      <c r="AB36" s="771"/>
      <c r="AC36" s="771"/>
      <c r="AD36" s="771"/>
      <c r="AE36" s="771"/>
      <c r="AF36" s="771"/>
      <c r="AG36" s="771"/>
      <c r="AH36" s="771"/>
      <c r="AI36" s="771"/>
      <c r="AJ36" s="771"/>
      <c r="AK36" s="771"/>
      <c r="AL36" s="771"/>
      <c r="AM36" s="771"/>
      <c r="AN36" s="771"/>
      <c r="AO36" s="771"/>
      <c r="AP36" s="771"/>
      <c r="AQ36" s="771"/>
    </row>
    <row r="37" spans="1:43" s="773" customFormat="1" ht="13.5" customHeight="1" outlineLevel="1" x14ac:dyDescent="0.2">
      <c r="A37" s="809" t="s">
        <v>307</v>
      </c>
      <c r="B37" s="729">
        <f>[2]Database!$G83</f>
        <v>112.71</v>
      </c>
      <c r="C37" s="724" t="s">
        <v>220</v>
      </c>
      <c r="D37" s="727">
        <f>SUM([2]Database!$L$81:$L$83)*1000</f>
        <v>8994.2160000000003</v>
      </c>
      <c r="E37" s="734" t="s">
        <v>220</v>
      </c>
      <c r="F37" s="727" t="s">
        <v>220</v>
      </c>
      <c r="G37" s="734">
        <f>SUM([3]Database!$C$68:$C$70)</f>
        <v>1032</v>
      </c>
      <c r="H37" s="728">
        <f>SUM([4]Database!$C$139:$C$141)</f>
        <v>464</v>
      </c>
      <c r="I37" s="829"/>
      <c r="J37" s="772"/>
      <c r="K37" s="771"/>
      <c r="L37" s="771"/>
      <c r="M37" s="771"/>
      <c r="N37" s="771"/>
      <c r="O37" s="771"/>
      <c r="P37" s="771"/>
      <c r="Q37" s="771"/>
      <c r="R37" s="771"/>
      <c r="S37" s="771"/>
      <c r="T37" s="771"/>
      <c r="U37" s="771"/>
      <c r="V37" s="771"/>
      <c r="W37" s="771"/>
      <c r="X37" s="771"/>
      <c r="Y37" s="771"/>
      <c r="Z37" s="771"/>
      <c r="AA37" s="771"/>
      <c r="AB37" s="771"/>
      <c r="AC37" s="771"/>
      <c r="AD37" s="771"/>
      <c r="AE37" s="771"/>
      <c r="AF37" s="771"/>
      <c r="AG37" s="771"/>
      <c r="AH37" s="771"/>
      <c r="AI37" s="771"/>
      <c r="AJ37" s="771"/>
      <c r="AK37" s="771"/>
      <c r="AL37" s="771"/>
      <c r="AM37" s="771"/>
      <c r="AN37" s="771"/>
      <c r="AO37" s="771"/>
      <c r="AP37" s="771"/>
      <c r="AQ37" s="771"/>
    </row>
    <row r="38" spans="1:43" s="773" customFormat="1" ht="12.9" customHeight="1" outlineLevel="1" x14ac:dyDescent="0.2">
      <c r="A38" s="809" t="s">
        <v>308</v>
      </c>
      <c r="B38" s="726">
        <f>[2]Database!$G86</f>
        <v>117.25</v>
      </c>
      <c r="C38" s="724" t="s">
        <v>220</v>
      </c>
      <c r="D38" s="727">
        <f>SUM([2]Database!$L$84:$L$86)*1000</f>
        <v>8682.128999999999</v>
      </c>
      <c r="E38" s="734" t="s">
        <v>220</v>
      </c>
      <c r="F38" s="727" t="s">
        <v>220</v>
      </c>
      <c r="G38" s="734">
        <f>SUM([3]Database!$C$71:$C$73)</f>
        <v>1346</v>
      </c>
      <c r="H38" s="728">
        <f>SUM([4]Database!$C$142:$C$144)</f>
        <v>444</v>
      </c>
      <c r="I38" s="771"/>
      <c r="J38" s="772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71"/>
      <c r="Y38" s="771"/>
      <c r="Z38" s="771"/>
      <c r="AA38" s="771"/>
      <c r="AB38" s="771"/>
      <c r="AC38" s="771"/>
      <c r="AD38" s="771"/>
      <c r="AE38" s="771"/>
      <c r="AF38" s="771"/>
      <c r="AG38" s="771"/>
      <c r="AH38" s="771"/>
      <c r="AI38" s="771"/>
      <c r="AJ38" s="771"/>
      <c r="AK38" s="771"/>
      <c r="AL38" s="771"/>
      <c r="AM38" s="771"/>
      <c r="AN38" s="771"/>
      <c r="AO38" s="771"/>
      <c r="AP38" s="771"/>
      <c r="AQ38" s="771"/>
    </row>
    <row r="39" spans="1:43" s="773" customFormat="1" ht="12.9" customHeight="1" outlineLevel="1" x14ac:dyDescent="0.2">
      <c r="A39" s="809" t="s">
        <v>309</v>
      </c>
      <c r="B39" s="726">
        <f>[2]Database!$G89</f>
        <v>105.64</v>
      </c>
      <c r="C39" s="724" t="s">
        <v>220</v>
      </c>
      <c r="D39" s="727">
        <f>SUM([2]Database!$L$87:$L$89)*1000</f>
        <v>8942.8629999999994</v>
      </c>
      <c r="E39" s="734" t="s">
        <v>220</v>
      </c>
      <c r="F39" s="727" t="s">
        <v>220</v>
      </c>
      <c r="G39" s="734">
        <f>SUM([3]Database!$C$74:$C$76)</f>
        <v>1219</v>
      </c>
      <c r="H39" s="728">
        <f>SUM([4]Database!$C$145:$C$147)</f>
        <v>418</v>
      </c>
      <c r="I39" s="771"/>
      <c r="J39" s="772"/>
      <c r="K39" s="771"/>
      <c r="L39" s="771"/>
      <c r="M39" s="771"/>
      <c r="N39" s="771"/>
      <c r="O39" s="771"/>
      <c r="P39" s="771"/>
      <c r="Q39" s="771"/>
      <c r="R39" s="771"/>
      <c r="S39" s="771"/>
      <c r="T39" s="771"/>
      <c r="U39" s="771"/>
      <c r="V39" s="771"/>
      <c r="W39" s="771"/>
      <c r="X39" s="771"/>
      <c r="Y39" s="771"/>
      <c r="Z39" s="771"/>
      <c r="AA39" s="771"/>
      <c r="AB39" s="771"/>
      <c r="AC39" s="771"/>
      <c r="AD39" s="771"/>
      <c r="AE39" s="771"/>
      <c r="AF39" s="771"/>
      <c r="AG39" s="771"/>
      <c r="AH39" s="771"/>
      <c r="AI39" s="771"/>
      <c r="AJ39" s="771"/>
      <c r="AK39" s="771"/>
      <c r="AL39" s="771"/>
      <c r="AM39" s="771"/>
      <c r="AN39" s="771"/>
      <c r="AO39" s="771"/>
      <c r="AP39" s="771"/>
      <c r="AQ39" s="771"/>
    </row>
    <row r="40" spans="1:43" s="773" customFormat="1" ht="12.9" customHeight="1" outlineLevel="1" x14ac:dyDescent="0.2">
      <c r="A40" s="809" t="s">
        <v>310</v>
      </c>
      <c r="B40" s="726">
        <f>[2]Database!$G92</f>
        <v>121.03</v>
      </c>
      <c r="C40" s="724" t="s">
        <v>220</v>
      </c>
      <c r="D40" s="727">
        <f>SUM([2]Database!$L$90:$L$92)*1000</f>
        <v>8913.8279999999995</v>
      </c>
      <c r="E40" s="734" t="s">
        <v>220</v>
      </c>
      <c r="F40" s="727" t="s">
        <v>220</v>
      </c>
      <c r="G40" s="734">
        <f>SUM([3]Database!$C$77:$C$79)</f>
        <v>1713</v>
      </c>
      <c r="H40" s="728">
        <f>SUM([4]Database!$C$148:$C$150)</f>
        <v>533</v>
      </c>
      <c r="I40" s="771"/>
      <c r="J40" s="772"/>
      <c r="K40" s="771"/>
      <c r="L40" s="771"/>
      <c r="M40" s="771"/>
      <c r="N40" s="771"/>
      <c r="O40" s="771"/>
      <c r="P40" s="771"/>
      <c r="Q40" s="771"/>
      <c r="R40" s="771"/>
      <c r="S40" s="771"/>
      <c r="T40" s="771"/>
      <c r="U40" s="771"/>
      <c r="V40" s="771"/>
      <c r="W40" s="771"/>
      <c r="X40" s="771"/>
      <c r="Y40" s="771"/>
      <c r="Z40" s="771"/>
      <c r="AA40" s="771"/>
      <c r="AB40" s="771"/>
      <c r="AC40" s="771"/>
      <c r="AD40" s="771"/>
      <c r="AE40" s="771"/>
      <c r="AF40" s="771"/>
      <c r="AG40" s="771"/>
      <c r="AH40" s="771"/>
      <c r="AI40" s="771"/>
      <c r="AJ40" s="771"/>
      <c r="AK40" s="771"/>
      <c r="AL40" s="771"/>
      <c r="AM40" s="771"/>
      <c r="AN40" s="771"/>
      <c r="AO40" s="771"/>
      <c r="AP40" s="771"/>
      <c r="AQ40" s="771"/>
    </row>
    <row r="41" spans="1:43" s="777" customFormat="1" ht="13.5" customHeight="1" x14ac:dyDescent="0.2">
      <c r="A41" s="742" t="s">
        <v>221</v>
      </c>
      <c r="B41" s="726">
        <f>[2]Database!$G95</f>
        <v>93.77</v>
      </c>
      <c r="C41" s="724" t="s">
        <v>220</v>
      </c>
      <c r="D41" s="727">
        <f>SUM([2]Database!$L$93:$L$95)*1000</f>
        <v>8966.4070000000011</v>
      </c>
      <c r="E41" s="734" t="s">
        <v>220</v>
      </c>
      <c r="F41" s="727" t="s">
        <v>220</v>
      </c>
      <c r="G41" s="734">
        <f>SUM([3]Database!$C$80:$C$82)</f>
        <v>952</v>
      </c>
      <c r="H41" s="728">
        <f>SUM([4]Database!$C$151:$C$153)</f>
        <v>494</v>
      </c>
      <c r="I41" s="776"/>
      <c r="J41" s="772"/>
      <c r="K41" s="776"/>
      <c r="L41" s="776"/>
      <c r="M41" s="776"/>
      <c r="N41" s="776"/>
      <c r="O41" s="776"/>
      <c r="P41" s="776"/>
      <c r="Q41" s="776"/>
      <c r="R41" s="776"/>
      <c r="S41" s="776"/>
      <c r="T41" s="776"/>
      <c r="U41" s="776"/>
      <c r="V41" s="776"/>
      <c r="W41" s="776"/>
      <c r="X41" s="776"/>
      <c r="Y41" s="776"/>
      <c r="Z41" s="776"/>
      <c r="AA41" s="776"/>
      <c r="AB41" s="776"/>
      <c r="AC41" s="776"/>
      <c r="AD41" s="776"/>
      <c r="AE41" s="776"/>
      <c r="AF41" s="776"/>
      <c r="AG41" s="776"/>
      <c r="AH41" s="776"/>
      <c r="AI41" s="776"/>
      <c r="AJ41" s="776"/>
      <c r="AK41" s="776"/>
      <c r="AL41" s="776"/>
      <c r="AM41" s="776"/>
      <c r="AN41" s="776"/>
      <c r="AO41" s="776"/>
      <c r="AP41" s="776"/>
      <c r="AQ41" s="776"/>
    </row>
    <row r="42" spans="1:43" s="777" customFormat="1" ht="13.5" customHeight="1" x14ac:dyDescent="0.2">
      <c r="A42" s="742" t="s">
        <v>222</v>
      </c>
      <c r="B42" s="726">
        <f>[2]Database!$G98</f>
        <v>109.52</v>
      </c>
      <c r="C42" s="724" t="s">
        <v>220</v>
      </c>
      <c r="D42" s="727">
        <f>SUM([2]Database!$L$96:$L$98)*1000</f>
        <v>9352.9579999999987</v>
      </c>
      <c r="E42" s="734" t="s">
        <v>220</v>
      </c>
      <c r="F42" s="727" t="s">
        <v>220</v>
      </c>
      <c r="G42" s="734">
        <f>SUM([3]Database!$C$83:$C$85)</f>
        <v>1633</v>
      </c>
      <c r="H42" s="728">
        <f>SUM([4]Database!$C$154:$C$156)</f>
        <v>562</v>
      </c>
      <c r="I42" s="776"/>
      <c r="J42" s="772"/>
      <c r="K42" s="776"/>
      <c r="L42" s="776"/>
      <c r="M42" s="776"/>
      <c r="N42" s="776"/>
      <c r="O42" s="776"/>
      <c r="P42" s="776"/>
      <c r="Q42" s="776"/>
      <c r="R42" s="776"/>
      <c r="S42" s="776"/>
      <c r="T42" s="776"/>
      <c r="U42" s="776"/>
      <c r="V42" s="776"/>
      <c r="W42" s="776"/>
      <c r="X42" s="776"/>
      <c r="Y42" s="776"/>
      <c r="Z42" s="776"/>
      <c r="AA42" s="776"/>
      <c r="AB42" s="776"/>
      <c r="AC42" s="776"/>
      <c r="AD42" s="776"/>
      <c r="AE42" s="776"/>
      <c r="AF42" s="776"/>
      <c r="AG42" s="776"/>
      <c r="AH42" s="776"/>
      <c r="AI42" s="776"/>
      <c r="AJ42" s="776"/>
      <c r="AK42" s="776"/>
      <c r="AL42" s="776"/>
      <c r="AM42" s="776"/>
      <c r="AN42" s="776"/>
      <c r="AO42" s="776"/>
      <c r="AP42" s="776"/>
      <c r="AQ42" s="776"/>
    </row>
    <row r="43" spans="1:43" s="777" customFormat="1" ht="13.5" customHeight="1" x14ac:dyDescent="0.2">
      <c r="A43" s="742" t="s">
        <v>223</v>
      </c>
      <c r="B43" s="726">
        <f>[2]Database!$G101</f>
        <v>112.01</v>
      </c>
      <c r="C43" s="724" t="s">
        <v>220</v>
      </c>
      <c r="D43" s="727">
        <f>SUM([2]Database!$L$99:$L$101)*1000</f>
        <v>9537.6919999999991</v>
      </c>
      <c r="E43" s="734" t="s">
        <v>220</v>
      </c>
      <c r="F43" s="727" t="s">
        <v>220</v>
      </c>
      <c r="G43" s="734">
        <f>SUM([3]Database!$C$86:$C$88)</f>
        <v>1386</v>
      </c>
      <c r="H43" s="728">
        <f>SUM([4]Database!$C$157:$C$159)</f>
        <v>558</v>
      </c>
      <c r="I43" s="776"/>
      <c r="J43" s="772"/>
      <c r="K43" s="776"/>
      <c r="L43" s="776"/>
      <c r="M43" s="776"/>
      <c r="N43" s="776"/>
      <c r="O43" s="776"/>
      <c r="P43" s="776"/>
      <c r="Q43" s="776"/>
      <c r="R43" s="776"/>
      <c r="S43" s="776"/>
      <c r="T43" s="776"/>
      <c r="U43" s="776"/>
      <c r="V43" s="776"/>
      <c r="W43" s="776"/>
      <c r="X43" s="776"/>
      <c r="Y43" s="776"/>
      <c r="Z43" s="776"/>
      <c r="AA43" s="776"/>
      <c r="AB43" s="776"/>
      <c r="AC43" s="776"/>
      <c r="AD43" s="776"/>
      <c r="AE43" s="776"/>
      <c r="AF43" s="776"/>
      <c r="AG43" s="776"/>
      <c r="AH43" s="776"/>
      <c r="AI43" s="776"/>
      <c r="AJ43" s="776"/>
      <c r="AK43" s="776"/>
      <c r="AL43" s="776"/>
      <c r="AM43" s="776"/>
      <c r="AN43" s="776"/>
      <c r="AO43" s="776"/>
      <c r="AP43" s="776"/>
      <c r="AQ43" s="776"/>
    </row>
    <row r="44" spans="1:43" s="779" customFormat="1" ht="13.5" customHeight="1" x14ac:dyDescent="0.2">
      <c r="A44" s="742" t="s">
        <v>224</v>
      </c>
      <c r="B44" s="726">
        <f>[2]Database!$G104</f>
        <v>117.47</v>
      </c>
      <c r="C44" s="724" t="s">
        <v>220</v>
      </c>
      <c r="D44" s="727">
        <f>SUM([2]Database!$L$102:$L$104)*1000</f>
        <v>9877.6919999999991</v>
      </c>
      <c r="E44" s="734" t="s">
        <v>220</v>
      </c>
      <c r="F44" s="727" t="s">
        <v>220</v>
      </c>
      <c r="G44" s="734">
        <f>SUM([3]Database!$C$89:$C$91)</f>
        <v>1595</v>
      </c>
      <c r="H44" s="728">
        <f>SUM([4]Database!$C$160:$C$162)</f>
        <v>547</v>
      </c>
      <c r="I44" s="776"/>
      <c r="J44" s="778"/>
      <c r="K44" s="776"/>
      <c r="L44" s="776"/>
      <c r="M44" s="776"/>
      <c r="N44" s="776"/>
      <c r="O44" s="776"/>
      <c r="P44" s="776"/>
      <c r="Q44" s="776"/>
      <c r="R44" s="776"/>
      <c r="S44" s="776"/>
      <c r="T44" s="776"/>
      <c r="U44" s="776"/>
      <c r="V44" s="776"/>
      <c r="W44" s="776"/>
      <c r="X44" s="776"/>
      <c r="Y44" s="776"/>
      <c r="Z44" s="776"/>
      <c r="AA44" s="776"/>
      <c r="AB44" s="776"/>
      <c r="AC44" s="776"/>
      <c r="AD44" s="776"/>
      <c r="AE44" s="776"/>
      <c r="AF44" s="776"/>
      <c r="AG44" s="776"/>
      <c r="AH44" s="776"/>
      <c r="AI44" s="776"/>
      <c r="AJ44" s="776"/>
      <c r="AK44" s="776"/>
      <c r="AL44" s="776"/>
      <c r="AM44" s="776"/>
      <c r="AN44" s="776"/>
      <c r="AO44" s="776"/>
      <c r="AP44" s="776"/>
      <c r="AQ44" s="776"/>
    </row>
    <row r="45" spans="1:43" s="779" customFormat="1" ht="13.5" customHeight="1" x14ac:dyDescent="0.2">
      <c r="A45" s="742" t="s">
        <v>225</v>
      </c>
      <c r="B45" s="729">
        <f>[2]Database!$G107</f>
        <v>107.47</v>
      </c>
      <c r="C45" s="724" t="s">
        <v>220</v>
      </c>
      <c r="D45" s="727">
        <f>SUM([2]Database!$L$105:$L$107)*1000</f>
        <v>8406.1790000000001</v>
      </c>
      <c r="E45" s="734" t="s">
        <v>220</v>
      </c>
      <c r="F45" s="727" t="s">
        <v>220</v>
      </c>
      <c r="G45" s="734">
        <f>SUM([3]Database!$C$92:$C$94)</f>
        <v>1143</v>
      </c>
      <c r="H45" s="730">
        <f>SUM([4]Database!$C$163:$C$165)</f>
        <v>547</v>
      </c>
      <c r="I45" s="776"/>
      <c r="J45" s="778"/>
      <c r="K45" s="776"/>
      <c r="L45" s="776"/>
      <c r="M45" s="776"/>
      <c r="N45" s="776"/>
      <c r="O45" s="776"/>
      <c r="P45" s="776"/>
      <c r="Q45" s="776"/>
      <c r="R45" s="776"/>
      <c r="S45" s="776"/>
      <c r="T45" s="776"/>
      <c r="U45" s="776"/>
      <c r="V45" s="776"/>
      <c r="W45" s="776"/>
      <c r="X45" s="776"/>
      <c r="Y45" s="776"/>
      <c r="Z45" s="776"/>
      <c r="AA45" s="776"/>
      <c r="AB45" s="776"/>
      <c r="AC45" s="776"/>
      <c r="AD45" s="776"/>
      <c r="AE45" s="776"/>
      <c r="AF45" s="776"/>
      <c r="AG45" s="776"/>
      <c r="AH45" s="776"/>
      <c r="AI45" s="776"/>
      <c r="AJ45" s="776"/>
      <c r="AK45" s="776"/>
      <c r="AL45" s="776"/>
      <c r="AM45" s="776"/>
      <c r="AN45" s="776"/>
      <c r="AO45" s="776"/>
      <c r="AP45" s="776"/>
      <c r="AQ45" s="776"/>
    </row>
    <row r="46" spans="1:43" s="779" customFormat="1" ht="13.5" customHeight="1" x14ac:dyDescent="0.2">
      <c r="A46" s="742" t="s">
        <v>226</v>
      </c>
      <c r="B46" s="729">
        <f>[2]Database!$G110</f>
        <v>114.95</v>
      </c>
      <c r="C46" s="724" t="s">
        <v>220</v>
      </c>
      <c r="D46" s="727">
        <f>SUM([2]Database!$L$108:$L$110)*1000</f>
        <v>8085.7460000000001</v>
      </c>
      <c r="E46" s="734" t="s">
        <v>220</v>
      </c>
      <c r="F46" s="727" t="s">
        <v>220</v>
      </c>
      <c r="G46" s="734">
        <f>SUM([3]Database!$C$95:$C$97)</f>
        <v>1312</v>
      </c>
      <c r="H46" s="730">
        <f>SUM([4]Database!$C$166:$C$168)</f>
        <v>441</v>
      </c>
      <c r="I46" s="776"/>
      <c r="J46" s="778"/>
      <c r="K46" s="776"/>
      <c r="L46" s="776"/>
      <c r="M46" s="776"/>
      <c r="N46" s="776"/>
      <c r="O46" s="776"/>
      <c r="P46" s="776"/>
      <c r="Q46" s="776"/>
      <c r="R46" s="776"/>
      <c r="S46" s="776"/>
      <c r="T46" s="776"/>
      <c r="U46" s="776"/>
      <c r="V46" s="776"/>
      <c r="W46" s="776"/>
      <c r="X46" s="776"/>
      <c r="Y46" s="776"/>
      <c r="Z46" s="776"/>
      <c r="AA46" s="776"/>
      <c r="AB46" s="776"/>
      <c r="AC46" s="776"/>
      <c r="AD46" s="776"/>
      <c r="AE46" s="776"/>
      <c r="AF46" s="776"/>
      <c r="AG46" s="776"/>
      <c r="AH46" s="776"/>
      <c r="AI46" s="776"/>
      <c r="AJ46" s="776"/>
      <c r="AK46" s="776"/>
      <c r="AL46" s="776"/>
      <c r="AM46" s="776"/>
      <c r="AN46" s="776"/>
      <c r="AO46" s="776"/>
      <c r="AP46" s="776"/>
      <c r="AQ46" s="776"/>
    </row>
    <row r="47" spans="1:43" s="779" customFormat="1" ht="13.5" customHeight="1" x14ac:dyDescent="0.2">
      <c r="A47" s="742" t="s">
        <v>227</v>
      </c>
      <c r="B47" s="729">
        <f>[2]Database!$G113</f>
        <v>135.21</v>
      </c>
      <c r="C47" s="724" t="s">
        <v>220</v>
      </c>
      <c r="D47" s="727">
        <f>SUM([2]Database!$L$111:$L$113)*1000</f>
        <v>7755.5500000000011</v>
      </c>
      <c r="E47" s="734" t="s">
        <v>220</v>
      </c>
      <c r="F47" s="727" t="s">
        <v>220</v>
      </c>
      <c r="G47" s="734">
        <f>SUM([3]Database!$C$98:$C$100)</f>
        <v>1419</v>
      </c>
      <c r="H47" s="730">
        <f>SUM([4]Database!$C$169:$C$171)</f>
        <v>456</v>
      </c>
      <c r="I47" s="776"/>
      <c r="J47" s="778"/>
      <c r="K47" s="776"/>
      <c r="L47" s="776"/>
      <c r="M47" s="776"/>
      <c r="N47" s="776"/>
      <c r="O47" s="776"/>
      <c r="P47" s="776"/>
      <c r="Q47" s="776"/>
      <c r="R47" s="776"/>
      <c r="S47" s="776"/>
      <c r="T47" s="776"/>
      <c r="U47" s="776"/>
      <c r="V47" s="776"/>
      <c r="W47" s="776"/>
      <c r="X47" s="776"/>
      <c r="Y47" s="776"/>
      <c r="Z47" s="776"/>
      <c r="AA47" s="776"/>
      <c r="AB47" s="776"/>
      <c r="AC47" s="776"/>
      <c r="AD47" s="776"/>
      <c r="AE47" s="776"/>
      <c r="AF47" s="776"/>
      <c r="AG47" s="776"/>
      <c r="AH47" s="776"/>
      <c r="AI47" s="776"/>
      <c r="AJ47" s="776"/>
      <c r="AK47" s="776"/>
      <c r="AL47" s="776"/>
      <c r="AM47" s="776"/>
      <c r="AN47" s="776"/>
      <c r="AO47" s="776"/>
      <c r="AP47" s="776"/>
      <c r="AQ47" s="776"/>
    </row>
    <row r="48" spans="1:43" s="779" customFormat="1" ht="13.5" customHeight="1" x14ac:dyDescent="0.2">
      <c r="A48" s="742" t="s">
        <v>228</v>
      </c>
      <c r="B48" s="729">
        <f>[2]Database!$G116</f>
        <v>140.49</v>
      </c>
      <c r="C48" s="724" t="s">
        <v>220</v>
      </c>
      <c r="D48" s="727">
        <f>SUM([2]Database!$L$114:$L$116)*1000</f>
        <v>9876.0509999999995</v>
      </c>
      <c r="E48" s="734" t="s">
        <v>220</v>
      </c>
      <c r="F48" s="727" t="s">
        <v>220</v>
      </c>
      <c r="G48" s="734">
        <f>SUM([3]Database!$C$101:$C$103)</f>
        <v>1709</v>
      </c>
      <c r="H48" s="730">
        <f>SUM([4]Database!$C$172:$C$174)</f>
        <v>604</v>
      </c>
      <c r="I48" s="776"/>
      <c r="J48" s="778"/>
      <c r="K48" s="776"/>
      <c r="L48" s="776"/>
      <c r="M48" s="776"/>
      <c r="N48" s="776"/>
      <c r="O48" s="776"/>
      <c r="P48" s="776"/>
      <c r="Q48" s="776"/>
      <c r="R48" s="776"/>
      <c r="S48" s="776"/>
      <c r="T48" s="776"/>
      <c r="U48" s="776"/>
      <c r="V48" s="776"/>
      <c r="W48" s="776"/>
      <c r="X48" s="776"/>
      <c r="Y48" s="776"/>
      <c r="Z48" s="776"/>
      <c r="AA48" s="776"/>
      <c r="AB48" s="776"/>
      <c r="AC48" s="776"/>
      <c r="AD48" s="776"/>
      <c r="AE48" s="776"/>
      <c r="AF48" s="776"/>
      <c r="AG48" s="776"/>
      <c r="AH48" s="776"/>
      <c r="AI48" s="776"/>
      <c r="AJ48" s="776"/>
      <c r="AK48" s="776"/>
      <c r="AL48" s="776"/>
      <c r="AM48" s="776"/>
      <c r="AN48" s="776"/>
      <c r="AO48" s="776"/>
      <c r="AP48" s="776"/>
      <c r="AQ48" s="776"/>
    </row>
    <row r="49" spans="1:43" s="779" customFormat="1" ht="13.5" customHeight="1" x14ac:dyDescent="0.2">
      <c r="A49" s="742" t="s">
        <v>229</v>
      </c>
      <c r="B49" s="729">
        <f>[2]Database!$G119</f>
        <v>149.9</v>
      </c>
      <c r="C49" s="724">
        <f>[2]Database!$K119</f>
        <v>45.5</v>
      </c>
      <c r="D49" s="727">
        <f>SUM([2]Database!$L$117:$L$119)*1000</f>
        <v>10769.779</v>
      </c>
      <c r="E49" s="734" t="s">
        <v>220</v>
      </c>
      <c r="F49" s="727" t="s">
        <v>220</v>
      </c>
      <c r="G49" s="734">
        <f>SUM([3]Database!$C$104:$C$106)</f>
        <v>1019</v>
      </c>
      <c r="H49" s="730">
        <f>SUM([4]Database!$C$175:$C$177)</f>
        <v>489</v>
      </c>
      <c r="I49" s="776"/>
      <c r="J49" s="778"/>
      <c r="K49" s="776"/>
      <c r="L49" s="776"/>
      <c r="M49" s="776"/>
      <c r="N49" s="776"/>
      <c r="O49" s="776"/>
      <c r="P49" s="776"/>
      <c r="Q49" s="776"/>
      <c r="R49" s="776"/>
      <c r="S49" s="776"/>
      <c r="T49" s="776"/>
      <c r="U49" s="776"/>
      <c r="V49" s="776"/>
      <c r="W49" s="776"/>
      <c r="X49" s="776"/>
      <c r="Y49" s="776"/>
      <c r="Z49" s="776"/>
      <c r="AA49" s="776"/>
      <c r="AB49" s="776"/>
      <c r="AC49" s="776"/>
      <c r="AD49" s="776"/>
      <c r="AE49" s="776"/>
      <c r="AF49" s="776"/>
      <c r="AG49" s="776"/>
      <c r="AH49" s="776"/>
      <c r="AI49" s="776"/>
      <c r="AJ49" s="776"/>
      <c r="AK49" s="776"/>
      <c r="AL49" s="776"/>
      <c r="AM49" s="776"/>
      <c r="AN49" s="776"/>
      <c r="AO49" s="776"/>
      <c r="AP49" s="776"/>
      <c r="AQ49" s="776"/>
    </row>
    <row r="50" spans="1:43" s="779" customFormat="1" ht="13.5" customHeight="1" x14ac:dyDescent="0.2">
      <c r="A50" s="742" t="s">
        <v>230</v>
      </c>
      <c r="B50" s="729">
        <f>[2]Database!$G122</f>
        <v>150.74</v>
      </c>
      <c r="C50" s="724">
        <f>[2]Database!$K122</f>
        <v>45.5</v>
      </c>
      <c r="D50" s="727">
        <f>SUM([2]Database!$L$120:$L$122)*1000</f>
        <v>10339.653</v>
      </c>
      <c r="E50" s="734" t="s">
        <v>220</v>
      </c>
      <c r="F50" s="727" t="s">
        <v>220</v>
      </c>
      <c r="G50" s="734">
        <f>SUM([3]Database!$C$107:$C$109)</f>
        <v>1379</v>
      </c>
      <c r="H50" s="730">
        <f>SUM([4]Database!$C$178:$C$180)</f>
        <v>438</v>
      </c>
      <c r="I50" s="776"/>
      <c r="J50" s="778"/>
      <c r="K50" s="776"/>
      <c r="L50" s="776"/>
      <c r="M50" s="776"/>
      <c r="N50" s="776"/>
      <c r="O50" s="776"/>
      <c r="P50" s="776"/>
      <c r="Q50" s="776"/>
      <c r="R50" s="776"/>
      <c r="S50" s="776"/>
      <c r="T50" s="776"/>
      <c r="U50" s="776"/>
      <c r="V50" s="776"/>
      <c r="W50" s="776"/>
      <c r="X50" s="776"/>
      <c r="Y50" s="776"/>
      <c r="Z50" s="776"/>
      <c r="AA50" s="776"/>
      <c r="AB50" s="776"/>
      <c r="AC50" s="776"/>
      <c r="AD50" s="776"/>
      <c r="AE50" s="776"/>
      <c r="AF50" s="776"/>
      <c r="AG50" s="776"/>
      <c r="AH50" s="776"/>
      <c r="AI50" s="776"/>
      <c r="AJ50" s="776"/>
      <c r="AK50" s="776"/>
      <c r="AL50" s="776"/>
      <c r="AM50" s="776"/>
      <c r="AN50" s="776"/>
      <c r="AO50" s="776"/>
      <c r="AP50" s="776"/>
      <c r="AQ50" s="776"/>
    </row>
    <row r="51" spans="1:43" s="779" customFormat="1" ht="13.5" customHeight="1" x14ac:dyDescent="0.2">
      <c r="A51" s="742" t="s">
        <v>231</v>
      </c>
      <c r="B51" s="729">
        <f>[2]Database!$G125</f>
        <v>158.44999999999999</v>
      </c>
      <c r="C51" s="724">
        <f>[2]Database!$K125</f>
        <v>56.499999999999993</v>
      </c>
      <c r="D51" s="727">
        <f>SUM([2]Database!$L$123:$L$125)*1000</f>
        <v>9696.9879999999994</v>
      </c>
      <c r="E51" s="734" t="s">
        <v>220</v>
      </c>
      <c r="F51" s="727" t="s">
        <v>220</v>
      </c>
      <c r="G51" s="734">
        <f>SUM([3]Database!$C$110:$C$112)</f>
        <v>1543</v>
      </c>
      <c r="H51" s="730">
        <f>SUM([4]Database!$C$181:$C$183)</f>
        <v>491</v>
      </c>
      <c r="I51" s="776"/>
      <c r="J51" s="778"/>
      <c r="K51" s="776"/>
      <c r="L51" s="776"/>
      <c r="M51" s="776"/>
      <c r="N51" s="776"/>
      <c r="O51" s="776"/>
      <c r="P51" s="776"/>
      <c r="Q51" s="776"/>
      <c r="R51" s="776"/>
      <c r="S51" s="776"/>
      <c r="T51" s="776"/>
      <c r="U51" s="776"/>
      <c r="V51" s="776"/>
      <c r="W51" s="776"/>
      <c r="X51" s="776"/>
      <c r="Y51" s="776"/>
      <c r="Z51" s="776"/>
      <c r="AA51" s="776"/>
      <c r="AB51" s="776"/>
      <c r="AC51" s="776"/>
      <c r="AD51" s="776"/>
      <c r="AE51" s="776"/>
      <c r="AF51" s="776"/>
      <c r="AG51" s="776"/>
      <c r="AH51" s="776"/>
      <c r="AI51" s="776"/>
      <c r="AJ51" s="776"/>
      <c r="AK51" s="776"/>
      <c r="AL51" s="776"/>
      <c r="AM51" s="776"/>
      <c r="AN51" s="776"/>
      <c r="AO51" s="776"/>
      <c r="AP51" s="776"/>
      <c r="AQ51" s="776"/>
    </row>
    <row r="52" spans="1:43" s="779" customFormat="1" ht="13.5" customHeight="1" x14ac:dyDescent="0.2">
      <c r="A52" s="742" t="s">
        <v>232</v>
      </c>
      <c r="B52" s="729">
        <f>[2]Database!$G128</f>
        <v>170.08</v>
      </c>
      <c r="C52" s="724">
        <f>[2]Database!$K128</f>
        <v>56.499999999999993</v>
      </c>
      <c r="D52" s="727">
        <f>SUM([2]Database!$L$126:$L$128)*1000</f>
        <v>9761.7859999999982</v>
      </c>
      <c r="E52" s="734" t="s">
        <v>220</v>
      </c>
      <c r="F52" s="727" t="s">
        <v>220</v>
      </c>
      <c r="G52" s="734">
        <f>SUM([3]Database!$C$113:$C$115)</f>
        <v>1728</v>
      </c>
      <c r="H52" s="730">
        <f>SUM([4]Database!$C$184:$C$186)</f>
        <v>627</v>
      </c>
      <c r="I52" s="776"/>
      <c r="J52" s="778"/>
      <c r="K52" s="776"/>
      <c r="L52" s="776"/>
      <c r="M52" s="776"/>
      <c r="N52" s="776"/>
      <c r="O52" s="776"/>
      <c r="P52" s="776"/>
      <c r="Q52" s="776"/>
      <c r="R52" s="776"/>
      <c r="S52" s="776"/>
      <c r="T52" s="776"/>
      <c r="U52" s="776"/>
      <c r="V52" s="776"/>
      <c r="W52" s="776"/>
      <c r="X52" s="776"/>
      <c r="Y52" s="776"/>
      <c r="Z52" s="776"/>
      <c r="AA52" s="776"/>
      <c r="AB52" s="776"/>
      <c r="AC52" s="776"/>
      <c r="AD52" s="776"/>
      <c r="AE52" s="776"/>
      <c r="AF52" s="776"/>
      <c r="AG52" s="776"/>
      <c r="AH52" s="776"/>
      <c r="AI52" s="776"/>
      <c r="AJ52" s="776"/>
      <c r="AK52" s="776"/>
      <c r="AL52" s="776"/>
      <c r="AM52" s="776"/>
      <c r="AN52" s="776"/>
      <c r="AO52" s="776"/>
      <c r="AP52" s="776"/>
      <c r="AQ52" s="776"/>
    </row>
    <row r="53" spans="1:43" s="779" customFormat="1" ht="13.5" customHeight="1" x14ac:dyDescent="0.2">
      <c r="A53" s="742" t="s">
        <v>233</v>
      </c>
      <c r="B53" s="729">
        <f>[2]Database!$G131</f>
        <v>175.41</v>
      </c>
      <c r="C53" s="724">
        <f>[2]Database!$K131</f>
        <v>56.499999999999993</v>
      </c>
      <c r="D53" s="727">
        <f>SUM([2]Database!$L$129:$L$131)*1000</f>
        <v>10938.550999999999</v>
      </c>
      <c r="E53" s="734" t="s">
        <v>220</v>
      </c>
      <c r="F53" s="727" t="s">
        <v>220</v>
      </c>
      <c r="G53" s="734">
        <f>SUM([3]Database!$C$116:$C$118)</f>
        <v>1533</v>
      </c>
      <c r="H53" s="730">
        <f>SUM([4]Database!$C$187:$C$189)</f>
        <v>486</v>
      </c>
      <c r="I53" s="776"/>
      <c r="J53" s="778"/>
      <c r="K53" s="776"/>
      <c r="L53" s="776"/>
      <c r="M53" s="776"/>
      <c r="N53" s="776"/>
      <c r="O53" s="776"/>
      <c r="P53" s="776"/>
      <c r="Q53" s="776"/>
      <c r="R53" s="776"/>
      <c r="S53" s="776"/>
      <c r="T53" s="776"/>
      <c r="U53" s="776"/>
      <c r="V53" s="776"/>
      <c r="W53" s="776"/>
      <c r="X53" s="776"/>
      <c r="Y53" s="776"/>
      <c r="Z53" s="776"/>
      <c r="AA53" s="776"/>
      <c r="AB53" s="776"/>
      <c r="AC53" s="776"/>
      <c r="AD53" s="776"/>
      <c r="AE53" s="776"/>
      <c r="AF53" s="776"/>
      <c r="AG53" s="776"/>
      <c r="AH53" s="776"/>
      <c r="AI53" s="776"/>
      <c r="AJ53" s="776"/>
      <c r="AK53" s="776"/>
      <c r="AL53" s="776"/>
      <c r="AM53" s="776"/>
      <c r="AN53" s="776"/>
      <c r="AO53" s="776"/>
      <c r="AP53" s="776"/>
      <c r="AQ53" s="776"/>
    </row>
    <row r="54" spans="1:43" s="779" customFormat="1" ht="13.5" customHeight="1" x14ac:dyDescent="0.2">
      <c r="A54" s="742" t="s">
        <v>234</v>
      </c>
      <c r="B54" s="729">
        <f>[2]Database!$G134</f>
        <v>171.74</v>
      </c>
      <c r="C54" s="724">
        <f>[2]Database!$K134</f>
        <v>56.499999999999993</v>
      </c>
      <c r="D54" s="727">
        <f>SUM([2]Database!$L$132:$L$134)*1000</f>
        <v>10646.916999999999</v>
      </c>
      <c r="E54" s="734" t="s">
        <v>220</v>
      </c>
      <c r="F54" s="727" t="s">
        <v>220</v>
      </c>
      <c r="G54" s="734">
        <f>SUM([3]Database!$C$119:$C$121)</f>
        <v>1547</v>
      </c>
      <c r="H54" s="730">
        <f>SUM([4]Database!$C$190:$C$192)</f>
        <v>411</v>
      </c>
      <c r="I54" s="776"/>
      <c r="J54" s="778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776"/>
      <c r="AB54" s="776"/>
      <c r="AC54" s="776"/>
      <c r="AD54" s="776"/>
      <c r="AE54" s="776"/>
      <c r="AF54" s="776"/>
      <c r="AG54" s="776"/>
      <c r="AH54" s="776"/>
      <c r="AI54" s="776"/>
      <c r="AJ54" s="776"/>
      <c r="AK54" s="776"/>
      <c r="AL54" s="776"/>
      <c r="AM54" s="776"/>
      <c r="AN54" s="776"/>
      <c r="AO54" s="776"/>
      <c r="AP54" s="776"/>
      <c r="AQ54" s="776"/>
    </row>
    <row r="55" spans="1:43" s="779" customFormat="1" ht="13.5" customHeight="1" x14ac:dyDescent="0.2">
      <c r="A55" s="742" t="s">
        <v>235</v>
      </c>
      <c r="B55" s="729">
        <f>[2]Database!$G137</f>
        <v>190.48</v>
      </c>
      <c r="C55" s="724">
        <f>[2]Database!$K137</f>
        <v>56.499999999999993</v>
      </c>
      <c r="D55" s="727">
        <f>SUM([2]Database!$L$135:$L$137)*1000</f>
        <v>10627.986000000001</v>
      </c>
      <c r="E55" s="734" t="s">
        <v>220</v>
      </c>
      <c r="F55" s="727" t="s">
        <v>220</v>
      </c>
      <c r="G55" s="734">
        <f>SUM([3]Database!$C$122:$C$124)</f>
        <v>1372</v>
      </c>
      <c r="H55" s="730">
        <f>SUM([4]Database!$C$193:$C$195)</f>
        <v>385</v>
      </c>
      <c r="I55" s="776"/>
      <c r="J55" s="778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6"/>
      <c r="X55" s="776"/>
      <c r="Y55" s="776"/>
      <c r="Z55" s="776"/>
      <c r="AA55" s="776"/>
      <c r="AB55" s="776"/>
      <c r="AC55" s="776"/>
      <c r="AD55" s="776"/>
      <c r="AE55" s="776"/>
      <c r="AF55" s="776"/>
      <c r="AG55" s="776"/>
      <c r="AH55" s="776"/>
      <c r="AI55" s="776"/>
      <c r="AJ55" s="776"/>
      <c r="AK55" s="776"/>
      <c r="AL55" s="776"/>
      <c r="AM55" s="776"/>
      <c r="AN55" s="776"/>
      <c r="AO55" s="776"/>
      <c r="AP55" s="776"/>
      <c r="AQ55" s="776"/>
    </row>
    <row r="56" spans="1:43" s="779" customFormat="1" ht="13.5" customHeight="1" x14ac:dyDescent="0.2">
      <c r="A56" s="742" t="s">
        <v>236</v>
      </c>
      <c r="B56" s="729">
        <f>[2]Database!$G140</f>
        <v>230.48</v>
      </c>
      <c r="C56" s="724">
        <f>[2]Database!$K140</f>
        <v>56.499999999999993</v>
      </c>
      <c r="D56" s="727">
        <f>SUM([2]Database!$L$138:$L$140)*1000</f>
        <v>11627.647999999999</v>
      </c>
      <c r="E56" s="734" t="s">
        <v>220</v>
      </c>
      <c r="F56" s="727" t="s">
        <v>220</v>
      </c>
      <c r="G56" s="734">
        <f>SUM([3]Database!$C$125:$C$127)</f>
        <v>2075</v>
      </c>
      <c r="H56" s="730">
        <f>SUM([4]Database!$C$196:$C$198)</f>
        <v>724</v>
      </c>
      <c r="I56" s="776"/>
      <c r="J56" s="778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76"/>
      <c r="X56" s="776"/>
      <c r="Y56" s="776"/>
      <c r="Z56" s="776"/>
      <c r="AA56" s="776"/>
      <c r="AB56" s="776"/>
      <c r="AC56" s="776"/>
      <c r="AD56" s="776"/>
      <c r="AE56" s="776"/>
      <c r="AF56" s="776"/>
      <c r="AG56" s="776"/>
      <c r="AH56" s="776"/>
      <c r="AI56" s="776"/>
      <c r="AJ56" s="776"/>
      <c r="AK56" s="776"/>
      <c r="AL56" s="776"/>
      <c r="AM56" s="776"/>
      <c r="AN56" s="776"/>
      <c r="AO56" s="776"/>
      <c r="AP56" s="776"/>
      <c r="AQ56" s="776"/>
    </row>
    <row r="57" spans="1:43" s="779" customFormat="1" ht="13.5" customHeight="1" x14ac:dyDescent="0.2">
      <c r="A57" s="742" t="s">
        <v>237</v>
      </c>
      <c r="B57" s="729">
        <f>[2]Database!$G143</f>
        <v>209.98</v>
      </c>
      <c r="C57" s="724">
        <f>[2]Database!$K143</f>
        <v>56.499999999999993</v>
      </c>
      <c r="D57" s="727">
        <f>SUM([2]Database!$L$141:$L$143)*1000</f>
        <v>11738.545</v>
      </c>
      <c r="E57" s="734" t="s">
        <v>220</v>
      </c>
      <c r="F57" s="734">
        <f>SUM([5]Database!$D$8:$D$10)</f>
        <v>237.17699999999999</v>
      </c>
      <c r="G57" s="734">
        <f>SUM([3]Database!$C$128:$C$130)</f>
        <v>1195</v>
      </c>
      <c r="H57" s="730">
        <f>SUM([4]Database!$C$199:$C$201)</f>
        <v>449</v>
      </c>
      <c r="I57" s="776"/>
      <c r="J57" s="778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776"/>
      <c r="AB57" s="776"/>
      <c r="AC57" s="776"/>
      <c r="AD57" s="776"/>
      <c r="AE57" s="776"/>
      <c r="AF57" s="776"/>
      <c r="AG57" s="776"/>
      <c r="AH57" s="776"/>
      <c r="AI57" s="776"/>
      <c r="AJ57" s="776"/>
      <c r="AK57" s="776"/>
      <c r="AL57" s="776"/>
      <c r="AM57" s="776"/>
      <c r="AN57" s="776"/>
      <c r="AO57" s="776"/>
      <c r="AP57" s="776"/>
      <c r="AQ57" s="776"/>
    </row>
    <row r="58" spans="1:43" s="779" customFormat="1" ht="13.5" customHeight="1" x14ac:dyDescent="0.2">
      <c r="A58" s="742" t="s">
        <v>238</v>
      </c>
      <c r="B58" s="729">
        <f>[2]Database!$G146</f>
        <v>221.98</v>
      </c>
      <c r="C58" s="724">
        <f>[2]Database!$K146</f>
        <v>56.499999999999993</v>
      </c>
      <c r="D58" s="727">
        <f>SUM([2]Database!$L$144:$L$146)*1000</f>
        <v>12008.047</v>
      </c>
      <c r="E58" s="734" t="s">
        <v>220</v>
      </c>
      <c r="F58" s="734">
        <f>SUM([5]Database!$D$11:$D$13)</f>
        <v>134.053</v>
      </c>
      <c r="G58" s="734">
        <f>SUM([3]Database!$C$131:$C$133)</f>
        <v>1455</v>
      </c>
      <c r="H58" s="730">
        <f>SUM([4]Database!$C$202:$C$204)</f>
        <v>517</v>
      </c>
      <c r="I58" s="776"/>
      <c r="J58" s="778"/>
      <c r="K58" s="776"/>
      <c r="L58" s="776"/>
      <c r="M58" s="776"/>
      <c r="N58" s="776"/>
      <c r="O58" s="776"/>
      <c r="P58" s="776"/>
      <c r="Q58" s="776"/>
      <c r="R58" s="776"/>
      <c r="S58" s="776"/>
      <c r="T58" s="776"/>
      <c r="U58" s="776"/>
      <c r="V58" s="776"/>
      <c r="W58" s="776"/>
      <c r="X58" s="776"/>
      <c r="Y58" s="776"/>
      <c r="Z58" s="776"/>
      <c r="AA58" s="776"/>
      <c r="AB58" s="776"/>
      <c r="AC58" s="776"/>
      <c r="AD58" s="776"/>
      <c r="AE58" s="776"/>
      <c r="AF58" s="776"/>
      <c r="AG58" s="776"/>
      <c r="AH58" s="776"/>
      <c r="AI58" s="776"/>
      <c r="AJ58" s="776"/>
      <c r="AK58" s="776"/>
      <c r="AL58" s="776"/>
      <c r="AM58" s="776"/>
      <c r="AN58" s="776"/>
      <c r="AO58" s="776"/>
      <c r="AP58" s="776"/>
      <c r="AQ58" s="776"/>
    </row>
    <row r="59" spans="1:43" s="779" customFormat="1" ht="13.5" customHeight="1" x14ac:dyDescent="0.2">
      <c r="A59" s="742" t="s">
        <v>239</v>
      </c>
      <c r="B59" s="729">
        <f>[2]Database!$G149</f>
        <v>258.98</v>
      </c>
      <c r="C59" s="724">
        <f>[2]Database!$K149</f>
        <v>61.71</v>
      </c>
      <c r="D59" s="727">
        <f>SUM([2]Database!$L$147:$L$149)*1000</f>
        <v>11007.075000000001</v>
      </c>
      <c r="E59" s="734" t="s">
        <v>220</v>
      </c>
      <c r="F59" s="734">
        <f>SUM([5]Database!$D$14:$D$16)</f>
        <v>223.553</v>
      </c>
      <c r="G59" s="734">
        <f>SUM([3]Database!$C$134:$C$136)</f>
        <v>1676</v>
      </c>
      <c r="H59" s="730">
        <f>SUM([4]Database!$C$205:$C$207)</f>
        <v>566</v>
      </c>
      <c r="I59" s="776"/>
      <c r="J59" s="778"/>
      <c r="K59" s="776"/>
      <c r="L59" s="776"/>
      <c r="M59" s="776"/>
      <c r="N59" s="776"/>
      <c r="O59" s="776"/>
      <c r="P59" s="776"/>
      <c r="Q59" s="776"/>
      <c r="R59" s="776"/>
      <c r="S59" s="776"/>
      <c r="T59" s="776"/>
      <c r="U59" s="776"/>
      <c r="V59" s="776"/>
      <c r="W59" s="776"/>
      <c r="X59" s="776"/>
      <c r="Y59" s="776"/>
      <c r="Z59" s="776"/>
      <c r="AA59" s="776"/>
      <c r="AB59" s="776"/>
      <c r="AC59" s="776"/>
      <c r="AD59" s="776"/>
      <c r="AE59" s="776"/>
      <c r="AF59" s="776"/>
      <c r="AG59" s="776"/>
      <c r="AH59" s="776"/>
      <c r="AI59" s="776"/>
      <c r="AJ59" s="776"/>
      <c r="AK59" s="776"/>
      <c r="AL59" s="776"/>
      <c r="AM59" s="776"/>
      <c r="AN59" s="776"/>
      <c r="AO59" s="776"/>
      <c r="AP59" s="776"/>
      <c r="AQ59" s="776"/>
    </row>
    <row r="60" spans="1:43" s="780" customFormat="1" ht="13.5" customHeight="1" x14ac:dyDescent="0.2">
      <c r="A60" s="742" t="s">
        <v>240</v>
      </c>
      <c r="B60" s="729">
        <f>[2]Database!$G152</f>
        <v>234.64</v>
      </c>
      <c r="C60" s="724">
        <f>[2]Database!$K152</f>
        <v>61.7</v>
      </c>
      <c r="D60" s="727">
        <f>SUM([2]Database!$L$150:$L$152)*1000</f>
        <v>10943.026</v>
      </c>
      <c r="E60" s="734" t="s">
        <v>220</v>
      </c>
      <c r="F60" s="734">
        <f>SUM([5]Database!$D$17:$D$19)</f>
        <v>247.76900000000001</v>
      </c>
      <c r="G60" s="734">
        <f>SUM([3]Database!$C$137:$C$139)</f>
        <v>1742</v>
      </c>
      <c r="H60" s="730">
        <f>SUM([4]Database!$C$208:$C$210)</f>
        <v>568</v>
      </c>
      <c r="I60" s="776"/>
      <c r="J60" s="778"/>
      <c r="K60" s="776"/>
      <c r="L60" s="776"/>
      <c r="M60" s="776"/>
      <c r="N60" s="776"/>
      <c r="O60" s="776"/>
      <c r="P60" s="776"/>
      <c r="Q60" s="776"/>
      <c r="R60" s="776"/>
      <c r="S60" s="776"/>
      <c r="T60" s="776"/>
      <c r="U60" s="776"/>
      <c r="V60" s="776"/>
      <c r="W60" s="776"/>
      <c r="X60" s="776"/>
      <c r="Y60" s="776"/>
      <c r="Z60" s="776"/>
      <c r="AA60" s="776"/>
      <c r="AB60" s="776"/>
      <c r="AC60" s="776"/>
      <c r="AD60" s="776"/>
      <c r="AE60" s="776"/>
      <c r="AF60" s="776"/>
      <c r="AG60" s="776"/>
      <c r="AH60" s="776"/>
      <c r="AI60" s="776"/>
      <c r="AJ60" s="776"/>
      <c r="AK60" s="776"/>
      <c r="AL60" s="776"/>
      <c r="AM60" s="776"/>
      <c r="AN60" s="776"/>
      <c r="AO60" s="776"/>
      <c r="AP60" s="776"/>
      <c r="AQ60" s="776"/>
    </row>
    <row r="61" spans="1:43" s="780" customFormat="1" ht="13.5" customHeight="1" x14ac:dyDescent="0.2">
      <c r="A61" s="742" t="s">
        <v>241</v>
      </c>
      <c r="B61" s="729">
        <f>[2]Database!$G155</f>
        <v>212.05</v>
      </c>
      <c r="C61" s="724">
        <f>[2]Database!$K155</f>
        <v>61.7</v>
      </c>
      <c r="D61" s="727">
        <f>SUM([2]Database!$L$153:$L$155)*1000</f>
        <v>11650.734</v>
      </c>
      <c r="E61" s="734">
        <f>SUM([6]Database!$C$45:$C$47)</f>
        <v>518.05174</v>
      </c>
      <c r="F61" s="734">
        <f>SUM([5]Database!$D$20:$D$22)</f>
        <v>183.12400000000002</v>
      </c>
      <c r="G61" s="734">
        <f>SUM([3]Database!$C$140:$C$142)</f>
        <v>1214</v>
      </c>
      <c r="H61" s="730">
        <f>SUM([4]Database!$C$211:$C$213)</f>
        <v>462</v>
      </c>
      <c r="I61" s="776"/>
      <c r="J61" s="778"/>
      <c r="K61" s="776"/>
      <c r="L61" s="776"/>
      <c r="M61" s="776"/>
      <c r="N61" s="776"/>
      <c r="O61" s="776"/>
      <c r="P61" s="776"/>
      <c r="Q61" s="776"/>
      <c r="R61" s="776"/>
      <c r="S61" s="776"/>
      <c r="T61" s="776"/>
      <c r="U61" s="776"/>
      <c r="V61" s="776"/>
      <c r="W61" s="776"/>
      <c r="X61" s="776"/>
      <c r="Y61" s="776"/>
      <c r="Z61" s="776"/>
      <c r="AA61" s="776"/>
      <c r="AB61" s="776"/>
      <c r="AC61" s="776"/>
      <c r="AD61" s="776"/>
      <c r="AE61" s="776"/>
      <c r="AF61" s="776"/>
      <c r="AG61" s="776"/>
      <c r="AH61" s="776"/>
      <c r="AI61" s="776"/>
      <c r="AJ61" s="776"/>
      <c r="AK61" s="776"/>
      <c r="AL61" s="776"/>
      <c r="AM61" s="776"/>
      <c r="AN61" s="776"/>
      <c r="AO61" s="776"/>
      <c r="AP61" s="776"/>
      <c r="AQ61" s="776"/>
    </row>
    <row r="62" spans="1:43" s="780" customFormat="1" ht="13.5" customHeight="1" x14ac:dyDescent="0.2">
      <c r="A62" s="742" t="s">
        <v>242</v>
      </c>
      <c r="B62" s="729">
        <f>[2]Database!$G158</f>
        <v>227.83</v>
      </c>
      <c r="C62" s="724">
        <f>[2]Database!$K158</f>
        <v>61.7</v>
      </c>
      <c r="D62" s="727">
        <f>SUM([2]Database!$L$156:$L$158)*1000</f>
        <v>11290.798999999999</v>
      </c>
      <c r="E62" s="734">
        <f>SUM([6]Database!$C$48:$C$50)</f>
        <v>1162.6781999999998</v>
      </c>
      <c r="F62" s="734">
        <f>SUM([5]Database!$D$23:$D$25)</f>
        <v>151.61000000000001</v>
      </c>
      <c r="G62" s="734">
        <f>SUM([3]Database!$C$143:$C$145)</f>
        <v>1354</v>
      </c>
      <c r="H62" s="730">
        <f>SUM([4]Database!$C$214:$C$216)</f>
        <v>472</v>
      </c>
      <c r="I62" s="776"/>
      <c r="J62" s="778"/>
      <c r="K62" s="776"/>
      <c r="L62" s="776"/>
      <c r="M62" s="776"/>
      <c r="N62" s="776"/>
      <c r="O62" s="776"/>
      <c r="P62" s="776"/>
      <c r="Q62" s="776"/>
      <c r="R62" s="776"/>
      <c r="S62" s="776"/>
      <c r="T62" s="776"/>
      <c r="U62" s="776"/>
      <c r="V62" s="776"/>
      <c r="W62" s="776"/>
      <c r="X62" s="776"/>
      <c r="Y62" s="776"/>
      <c r="Z62" s="776"/>
      <c r="AA62" s="776"/>
      <c r="AB62" s="776"/>
      <c r="AC62" s="776"/>
      <c r="AD62" s="776"/>
      <c r="AE62" s="776"/>
      <c r="AF62" s="776"/>
      <c r="AG62" s="776"/>
      <c r="AH62" s="776"/>
      <c r="AI62" s="776"/>
      <c r="AJ62" s="776"/>
      <c r="AK62" s="776"/>
      <c r="AL62" s="776"/>
      <c r="AM62" s="776"/>
      <c r="AN62" s="776"/>
      <c r="AO62" s="776"/>
      <c r="AP62" s="776"/>
      <c r="AQ62" s="776"/>
    </row>
    <row r="63" spans="1:43" s="780" customFormat="1" ht="13.5" customHeight="1" x14ac:dyDescent="0.2">
      <c r="A63" s="742" t="s">
        <v>243</v>
      </c>
      <c r="B63" s="729">
        <f>[2]Database!$G161</f>
        <v>258.29000000000002</v>
      </c>
      <c r="C63" s="724">
        <f>[2]Database!$K161</f>
        <v>68.5</v>
      </c>
      <c r="D63" s="727">
        <f>SUM([2]Database!$L$159:$L$161)*1000</f>
        <v>11056.76</v>
      </c>
      <c r="E63" s="734">
        <f>SUM([6]Database!$C$51:$C$53)</f>
        <v>964.04872</v>
      </c>
      <c r="F63" s="734">
        <f>SUM([5]Database!$D$26:$D$28)</f>
        <v>161.03399999999999</v>
      </c>
      <c r="G63" s="734">
        <f>SUM([3]Database!$C$146:$C$148)</f>
        <v>1460</v>
      </c>
      <c r="H63" s="730">
        <f>SUM([4]Database!$C$217:$C$219)</f>
        <v>444</v>
      </c>
      <c r="I63" s="776"/>
      <c r="J63" s="778"/>
      <c r="K63" s="776"/>
      <c r="L63" s="776"/>
      <c r="M63" s="776"/>
      <c r="N63" s="776"/>
      <c r="O63" s="776"/>
      <c r="P63" s="776"/>
      <c r="Q63" s="776"/>
      <c r="R63" s="776"/>
      <c r="S63" s="776"/>
      <c r="T63" s="776"/>
      <c r="U63" s="776"/>
      <c r="V63" s="776"/>
      <c r="W63" s="776"/>
      <c r="X63" s="776"/>
      <c r="Y63" s="776"/>
      <c r="Z63" s="776"/>
      <c r="AA63" s="776"/>
      <c r="AB63" s="776"/>
      <c r="AC63" s="776"/>
      <c r="AD63" s="776"/>
      <c r="AE63" s="776"/>
      <c r="AF63" s="776"/>
      <c r="AG63" s="776"/>
      <c r="AH63" s="776"/>
      <c r="AI63" s="776"/>
      <c r="AJ63" s="776"/>
      <c r="AK63" s="776"/>
      <c r="AL63" s="776"/>
      <c r="AM63" s="776"/>
      <c r="AN63" s="776"/>
      <c r="AO63" s="776"/>
      <c r="AP63" s="776"/>
      <c r="AQ63" s="776"/>
    </row>
    <row r="64" spans="1:43" s="780" customFormat="1" ht="13.5" customHeight="1" x14ac:dyDescent="0.2">
      <c r="A64" s="742" t="s">
        <v>244</v>
      </c>
      <c r="B64" s="729">
        <f>[2]Database!$G164</f>
        <v>265.06</v>
      </c>
      <c r="C64" s="724">
        <f>[2]Database!$K164</f>
        <v>68.5</v>
      </c>
      <c r="D64" s="727">
        <f>SUM([2]Database!$L$162:$L$164)*1000</f>
        <v>12316.257</v>
      </c>
      <c r="E64" s="734">
        <f>SUM([6]Database!$C$54:$C$56)</f>
        <v>5999.1895400000012</v>
      </c>
      <c r="F64" s="734">
        <f>SUM([5]Database!$D$29:$D$31)</f>
        <v>124.11499999999998</v>
      </c>
      <c r="G64" s="734">
        <f>SUM([3]Database!$C$149:$C$151)</f>
        <v>1839</v>
      </c>
      <c r="H64" s="730">
        <f>SUM([4]Database!$C$220:$C$222)</f>
        <v>493</v>
      </c>
      <c r="I64" s="776"/>
      <c r="J64" s="778"/>
      <c r="K64" s="776"/>
      <c r="L64" s="776"/>
      <c r="M64" s="776"/>
      <c r="N64" s="776"/>
      <c r="O64" s="776"/>
      <c r="P64" s="776"/>
      <c r="Q64" s="776"/>
      <c r="R64" s="776"/>
      <c r="S64" s="776"/>
      <c r="T64" s="776"/>
      <c r="U64" s="776"/>
      <c r="V64" s="776"/>
      <c r="W64" s="776"/>
      <c r="X64" s="776"/>
      <c r="Y64" s="776"/>
      <c r="Z64" s="776"/>
      <c r="AA64" s="776"/>
      <c r="AB64" s="776"/>
      <c r="AC64" s="776"/>
      <c r="AD64" s="776"/>
      <c r="AE64" s="776"/>
      <c r="AF64" s="776"/>
      <c r="AG64" s="776"/>
      <c r="AH64" s="776"/>
      <c r="AI64" s="776"/>
      <c r="AJ64" s="776"/>
      <c r="AK64" s="776"/>
      <c r="AL64" s="776"/>
      <c r="AM64" s="776"/>
      <c r="AN64" s="776"/>
      <c r="AO64" s="776"/>
      <c r="AP64" s="776"/>
      <c r="AQ64" s="776"/>
    </row>
    <row r="65" spans="1:43" s="780" customFormat="1" ht="13.5" customHeight="1" x14ac:dyDescent="0.2">
      <c r="A65" s="742" t="s">
        <v>245</v>
      </c>
      <c r="B65" s="729">
        <f>[2]Database!$G167</f>
        <v>286.39</v>
      </c>
      <c r="C65" s="724">
        <f>[2]Database!$K167</f>
        <v>83.15</v>
      </c>
      <c r="D65" s="727">
        <f>SUM([2]Database!$L$165:$L$167)*1000</f>
        <v>12265.869000000001</v>
      </c>
      <c r="E65" s="734">
        <f>SUM([6]Database!$C$57:$C$59)</f>
        <v>1273.0304899999999</v>
      </c>
      <c r="F65" s="734">
        <f>SUM([5]Database!$D$32:$D$34)</f>
        <v>89.043999999999997</v>
      </c>
      <c r="G65" s="734">
        <f>SUM([3]Database!$C$152:$C$154)</f>
        <v>1227</v>
      </c>
      <c r="H65" s="730">
        <f>SUM([4]Database!$C$223:$C$225)</f>
        <v>410</v>
      </c>
      <c r="I65" s="776"/>
      <c r="J65" s="778"/>
      <c r="K65" s="776"/>
      <c r="L65" s="776"/>
      <c r="M65" s="776"/>
      <c r="N65" s="776"/>
      <c r="O65" s="776"/>
      <c r="P65" s="776"/>
      <c r="Q65" s="776"/>
      <c r="R65" s="776"/>
      <c r="S65" s="776"/>
      <c r="T65" s="776"/>
      <c r="U65" s="776"/>
      <c r="V65" s="776"/>
      <c r="W65" s="776"/>
      <c r="X65" s="776"/>
      <c r="Y65" s="776"/>
      <c r="Z65" s="776"/>
      <c r="AA65" s="776"/>
      <c r="AB65" s="776"/>
      <c r="AC65" s="776"/>
      <c r="AD65" s="776"/>
      <c r="AE65" s="776"/>
      <c r="AF65" s="776"/>
      <c r="AG65" s="776"/>
      <c r="AH65" s="776"/>
      <c r="AI65" s="776"/>
      <c r="AJ65" s="776"/>
      <c r="AK65" s="776"/>
      <c r="AL65" s="776"/>
      <c r="AM65" s="776"/>
      <c r="AN65" s="776"/>
      <c r="AO65" s="776"/>
      <c r="AP65" s="776"/>
      <c r="AQ65" s="776"/>
    </row>
    <row r="66" spans="1:43" s="780" customFormat="1" ht="13.5" customHeight="1" x14ac:dyDescent="0.2">
      <c r="A66" s="742" t="s">
        <v>246</v>
      </c>
      <c r="B66" s="729">
        <f>[2]Database!$G170</f>
        <v>308.74</v>
      </c>
      <c r="C66" s="724">
        <f>[2]Database!$K170</f>
        <v>83.15</v>
      </c>
      <c r="D66" s="727">
        <f>SUM([2]Database!$L$168:$L$170)*1000</f>
        <v>11662.270999999999</v>
      </c>
      <c r="E66" s="734">
        <f>SUM([6]Database!$C$60:$C$62)</f>
        <v>1274.6648399999999</v>
      </c>
      <c r="F66" s="734">
        <f>SUM([5]Database!$D$35:$D$37)</f>
        <v>113.48699999999999</v>
      </c>
      <c r="G66" s="734">
        <f>SUM([3]Database!$C$155:$C$157)</f>
        <v>1403</v>
      </c>
      <c r="H66" s="730">
        <f>SUM([4]Database!$C$226:$C$228)</f>
        <v>229</v>
      </c>
      <c r="I66" s="776"/>
      <c r="J66" s="778"/>
      <c r="K66" s="776"/>
      <c r="L66" s="776"/>
      <c r="M66" s="776"/>
      <c r="N66" s="776"/>
      <c r="O66" s="776"/>
      <c r="P66" s="776"/>
      <c r="Q66" s="776"/>
      <c r="R66" s="776"/>
      <c r="S66" s="776"/>
      <c r="T66" s="776"/>
      <c r="U66" s="776"/>
      <c r="V66" s="776"/>
      <c r="W66" s="776"/>
      <c r="X66" s="776"/>
      <c r="Y66" s="776"/>
      <c r="Z66" s="776"/>
      <c r="AA66" s="776"/>
      <c r="AB66" s="776"/>
      <c r="AC66" s="776"/>
      <c r="AD66" s="776"/>
      <c r="AE66" s="776"/>
      <c r="AF66" s="776"/>
      <c r="AG66" s="776"/>
      <c r="AH66" s="776"/>
      <c r="AI66" s="776"/>
      <c r="AJ66" s="776"/>
      <c r="AK66" s="776"/>
      <c r="AL66" s="776"/>
      <c r="AM66" s="776"/>
      <c r="AN66" s="776"/>
      <c r="AO66" s="776"/>
      <c r="AP66" s="776"/>
      <c r="AQ66" s="776"/>
    </row>
    <row r="67" spans="1:43" s="780" customFormat="1" ht="13.5" customHeight="1" x14ac:dyDescent="0.2">
      <c r="A67" s="742" t="s">
        <v>247</v>
      </c>
      <c r="B67" s="729">
        <f>[2]Database!$G173</f>
        <v>342.85</v>
      </c>
      <c r="C67" s="724">
        <f>[2]Database!$K173</f>
        <v>102.60000000000001</v>
      </c>
      <c r="D67" s="727">
        <f>SUM([2]Database!$L$171:$L$173)*1000</f>
        <v>11193.848</v>
      </c>
      <c r="E67" s="734">
        <f>SUM([6]Database!$C$63:$C$65)</f>
        <v>1082.76163</v>
      </c>
      <c r="F67" s="734">
        <f>SUM([5]Database!$D$38:$D$40)</f>
        <v>99.161800000000014</v>
      </c>
      <c r="G67" s="734">
        <f>SUM([3]Database!$C$158:$C$160)</f>
        <v>1323</v>
      </c>
      <c r="H67" s="730">
        <f>SUM([4]Database!$C$229:$C$231)</f>
        <v>311</v>
      </c>
      <c r="I67" s="776"/>
      <c r="J67" s="781"/>
      <c r="K67" s="776"/>
      <c r="L67" s="776"/>
      <c r="M67" s="776"/>
      <c r="N67" s="776"/>
      <c r="O67" s="776"/>
      <c r="P67" s="776"/>
      <c r="Q67" s="776"/>
      <c r="R67" s="776"/>
      <c r="S67" s="776"/>
      <c r="T67" s="776"/>
      <c r="U67" s="776"/>
      <c r="V67" s="776"/>
      <c r="W67" s="776"/>
      <c r="X67" s="776"/>
      <c r="Y67" s="776"/>
      <c r="Z67" s="776"/>
      <c r="AA67" s="776"/>
      <c r="AB67" s="776"/>
      <c r="AC67" s="776"/>
      <c r="AD67" s="776"/>
      <c r="AE67" s="776"/>
      <c r="AF67" s="776"/>
      <c r="AG67" s="776"/>
      <c r="AH67" s="776"/>
      <c r="AI67" s="776"/>
      <c r="AJ67" s="776"/>
      <c r="AK67" s="776"/>
      <c r="AL67" s="776"/>
      <c r="AM67" s="776"/>
      <c r="AN67" s="776"/>
      <c r="AO67" s="776"/>
      <c r="AP67" s="776"/>
      <c r="AQ67" s="776"/>
    </row>
    <row r="68" spans="1:43" s="780" customFormat="1" ht="15" customHeight="1" x14ac:dyDescent="0.2">
      <c r="A68" s="742" t="s">
        <v>248</v>
      </c>
      <c r="B68" s="729">
        <f>[2]Database!$G176</f>
        <v>273.89999999999998</v>
      </c>
      <c r="C68" s="724">
        <f>[2]Database!$K176</f>
        <v>102.60000000000001</v>
      </c>
      <c r="D68" s="727">
        <f>SUM([2]Database!$L$174:$L$176)*1000</f>
        <v>11446.276000000002</v>
      </c>
      <c r="E68" s="734">
        <f>SUM([6]Database!$C$66:$C$68)</f>
        <v>3617.0072399999999</v>
      </c>
      <c r="F68" s="734">
        <f>SUM([5]Database!$D$41:$D$43)</f>
        <v>74.136213999999995</v>
      </c>
      <c r="G68" s="734">
        <f>SUM([3]Database!$C$161:$C$163)</f>
        <v>1572</v>
      </c>
      <c r="H68" s="730">
        <f>SUM([4]Database!$C$232:$C$234)</f>
        <v>331</v>
      </c>
      <c r="I68" s="776"/>
      <c r="J68" s="781"/>
      <c r="K68" s="776"/>
      <c r="L68" s="776"/>
      <c r="M68" s="776"/>
      <c r="N68" s="776"/>
      <c r="O68" s="776"/>
      <c r="P68" s="776"/>
      <c r="Q68" s="776"/>
      <c r="R68" s="776"/>
      <c r="S68" s="776"/>
      <c r="T68" s="776"/>
      <c r="U68" s="776"/>
      <c r="V68" s="776"/>
      <c r="W68" s="776"/>
      <c r="X68" s="776"/>
      <c r="Y68" s="776"/>
      <c r="Z68" s="776"/>
      <c r="AA68" s="776"/>
      <c r="AB68" s="776"/>
      <c r="AC68" s="776"/>
      <c r="AD68" s="776"/>
      <c r="AE68" s="776"/>
      <c r="AF68" s="776"/>
      <c r="AG68" s="776"/>
      <c r="AH68" s="776"/>
      <c r="AI68" s="776"/>
      <c r="AJ68" s="776"/>
      <c r="AK68" s="776"/>
      <c r="AL68" s="776"/>
      <c r="AM68" s="776"/>
      <c r="AN68" s="776"/>
      <c r="AO68" s="776"/>
      <c r="AP68" s="776"/>
      <c r="AQ68" s="776"/>
    </row>
    <row r="69" spans="1:43" s="780" customFormat="1" ht="15" customHeight="1" x14ac:dyDescent="0.2">
      <c r="A69" s="742" t="s">
        <v>249</v>
      </c>
      <c r="B69" s="731">
        <f>[2]Database!$G179</f>
        <v>206.82</v>
      </c>
      <c r="C69" s="724">
        <f>[2]Database!$K179</f>
        <v>103</v>
      </c>
      <c r="D69" s="727">
        <f>SUM([2]Database!$L$177:$L$179)*1000</f>
        <v>11497.75</v>
      </c>
      <c r="E69" s="734">
        <f>SUM([6]Database!$C$69:$C$71)</f>
        <v>1097.5009700000001</v>
      </c>
      <c r="F69" s="734">
        <f>SUM([5]Database!$D$44:$D$46)</f>
        <v>55.700899999999997</v>
      </c>
      <c r="G69" s="734">
        <f>SUM([3]Database!$C$164:$C$166)</f>
        <v>1009</v>
      </c>
      <c r="H69" s="730">
        <f>SUM([4]Database!$C$235:$C$237)</f>
        <v>253</v>
      </c>
      <c r="I69" s="776"/>
      <c r="J69" s="782"/>
      <c r="K69" s="776"/>
      <c r="L69" s="776"/>
      <c r="M69" s="776"/>
      <c r="N69" s="776"/>
      <c r="O69" s="776"/>
      <c r="P69" s="776"/>
      <c r="Q69" s="776"/>
      <c r="R69" s="776"/>
      <c r="S69" s="776"/>
      <c r="T69" s="776"/>
      <c r="U69" s="776"/>
      <c r="V69" s="776"/>
      <c r="W69" s="776"/>
      <c r="X69" s="776"/>
      <c r="Y69" s="776"/>
      <c r="Z69" s="776"/>
      <c r="AA69" s="776"/>
      <c r="AB69" s="776"/>
      <c r="AC69" s="776"/>
      <c r="AD69" s="776"/>
      <c r="AE69" s="776"/>
      <c r="AF69" s="776"/>
      <c r="AG69" s="776"/>
      <c r="AH69" s="776"/>
      <c r="AI69" s="776"/>
      <c r="AJ69" s="776"/>
      <c r="AK69" s="776"/>
      <c r="AL69" s="776"/>
      <c r="AM69" s="776"/>
      <c r="AN69" s="776"/>
      <c r="AO69" s="776"/>
      <c r="AP69" s="776"/>
      <c r="AQ69" s="776"/>
    </row>
    <row r="70" spans="1:43" s="780" customFormat="1" ht="15" customHeight="1" x14ac:dyDescent="0.2">
      <c r="A70" s="742" t="s">
        <v>250</v>
      </c>
      <c r="B70" s="731">
        <f>[2]Database!$G182</f>
        <v>220.38</v>
      </c>
      <c r="C70" s="724">
        <f>[2]Database!$K182</f>
        <v>62.79</v>
      </c>
      <c r="D70" s="727">
        <f>SUM([2]Database!$L$180:$L$182)*1000</f>
        <v>10400.837</v>
      </c>
      <c r="E70" s="734">
        <f>SUM([6]Database!$C$72:$C$74)</f>
        <v>1244.9174699999999</v>
      </c>
      <c r="F70" s="734">
        <f>SUM([5]Database!$D$47:$D$49)</f>
        <v>79.91467999999999</v>
      </c>
      <c r="G70" s="734">
        <f>SUM([3]Database!$C$167:$C$169)</f>
        <v>1237</v>
      </c>
      <c r="H70" s="730">
        <f>SUM([4]Database!$C$238:$C$240)</f>
        <v>236</v>
      </c>
      <c r="I70" s="776"/>
      <c r="J70" s="782"/>
      <c r="K70" s="776"/>
      <c r="L70" s="776"/>
      <c r="M70" s="776"/>
      <c r="N70" s="776"/>
      <c r="O70" s="776"/>
      <c r="P70" s="776"/>
      <c r="Q70" s="776"/>
      <c r="R70" s="776"/>
      <c r="S70" s="776"/>
      <c r="T70" s="776"/>
      <c r="U70" s="776"/>
      <c r="V70" s="776"/>
      <c r="W70" s="776"/>
      <c r="X70" s="776"/>
      <c r="Y70" s="776"/>
      <c r="Z70" s="776"/>
      <c r="AA70" s="776"/>
      <c r="AB70" s="776"/>
      <c r="AC70" s="776"/>
      <c r="AD70" s="776"/>
      <c r="AE70" s="776"/>
      <c r="AF70" s="776"/>
      <c r="AG70" s="776"/>
      <c r="AH70" s="776"/>
      <c r="AI70" s="776"/>
      <c r="AJ70" s="776"/>
      <c r="AK70" s="776"/>
      <c r="AL70" s="776"/>
      <c r="AM70" s="776"/>
      <c r="AN70" s="776"/>
      <c r="AO70" s="776"/>
      <c r="AP70" s="776"/>
      <c r="AQ70" s="776"/>
    </row>
    <row r="71" spans="1:43" s="780" customFormat="1" ht="15" customHeight="1" x14ac:dyDescent="0.2">
      <c r="A71" s="742" t="s">
        <v>251</v>
      </c>
      <c r="B71" s="731">
        <f>[2]Database!$G185</f>
        <v>243.3</v>
      </c>
      <c r="C71" s="724">
        <f>[2]Database!$K185</f>
        <v>62.79</v>
      </c>
      <c r="D71" s="727">
        <f>SUM([2]Database!$L$183:$L$185)*1000</f>
        <v>10296.728999999999</v>
      </c>
      <c r="E71" s="734">
        <f>SUM([6]Database!$C$75:$C$77)</f>
        <v>766.68219999999997</v>
      </c>
      <c r="F71" s="734">
        <f>SUM([5]Database!$D$50:$D$52)</f>
        <v>178.786607</v>
      </c>
      <c r="G71" s="734">
        <f>SUM([3]Database!$C$170:$C$172)</f>
        <v>1190</v>
      </c>
      <c r="H71" s="730">
        <f>SUM([4]Database!$C$241:$C$243)</f>
        <v>307</v>
      </c>
      <c r="I71" s="776"/>
      <c r="J71" s="782"/>
      <c r="K71" s="776"/>
      <c r="L71" s="776"/>
      <c r="M71" s="776"/>
      <c r="N71" s="776"/>
      <c r="O71" s="776"/>
      <c r="P71" s="776"/>
      <c r="Q71" s="776"/>
      <c r="R71" s="776"/>
      <c r="S71" s="776"/>
      <c r="T71" s="776"/>
      <c r="U71" s="776"/>
      <c r="V71" s="776"/>
      <c r="W71" s="776"/>
      <c r="X71" s="776"/>
      <c r="Y71" s="776"/>
      <c r="Z71" s="776"/>
      <c r="AA71" s="776"/>
      <c r="AB71" s="776"/>
      <c r="AC71" s="776"/>
      <c r="AD71" s="776"/>
      <c r="AE71" s="776"/>
      <c r="AF71" s="776"/>
      <c r="AG71" s="776"/>
      <c r="AH71" s="776"/>
      <c r="AI71" s="776"/>
      <c r="AJ71" s="776"/>
      <c r="AK71" s="776"/>
      <c r="AL71" s="776"/>
      <c r="AM71" s="776"/>
      <c r="AN71" s="776"/>
      <c r="AO71" s="776"/>
      <c r="AP71" s="776"/>
      <c r="AQ71" s="776"/>
    </row>
    <row r="72" spans="1:43" s="780" customFormat="1" ht="15" customHeight="1" x14ac:dyDescent="0.2">
      <c r="A72" s="742" t="s">
        <v>252</v>
      </c>
      <c r="B72" s="731">
        <f>[2]Database!$G188</f>
        <v>236.52</v>
      </c>
      <c r="C72" s="724">
        <f>[2]Database!$K188</f>
        <v>83.14</v>
      </c>
      <c r="D72" s="727">
        <f>SUM([2]Database!$L$186:$L$188)*1000</f>
        <v>10858.314</v>
      </c>
      <c r="E72" s="734">
        <f>SUM([6]Database!$C$78:$C$80)</f>
        <v>2969.5393799999997</v>
      </c>
      <c r="F72" s="734">
        <f>SUM([5]Database!$D$53:$D$55)</f>
        <v>247.2861</v>
      </c>
      <c r="G72" s="734">
        <f>SUM([3]Database!$C$173:$C$175)</f>
        <v>1683</v>
      </c>
      <c r="H72" s="730">
        <f>SUM([4]Database!$C$244:$C$246)</f>
        <v>368</v>
      </c>
      <c r="I72" s="776"/>
      <c r="J72" s="782"/>
      <c r="K72" s="776"/>
      <c r="L72" s="776"/>
      <c r="M72" s="776"/>
      <c r="N72" s="776"/>
      <c r="O72" s="776"/>
      <c r="P72" s="776"/>
      <c r="Q72" s="776"/>
      <c r="R72" s="776"/>
      <c r="S72" s="776"/>
      <c r="T72" s="776"/>
      <c r="U72" s="776"/>
      <c r="V72" s="776"/>
      <c r="W72" s="776"/>
      <c r="X72" s="776"/>
      <c r="Y72" s="776"/>
      <c r="Z72" s="776"/>
      <c r="AA72" s="776"/>
      <c r="AB72" s="776"/>
      <c r="AC72" s="776"/>
      <c r="AD72" s="776"/>
      <c r="AE72" s="776"/>
      <c r="AF72" s="776"/>
      <c r="AG72" s="776"/>
      <c r="AH72" s="776"/>
      <c r="AI72" s="776"/>
      <c r="AJ72" s="776"/>
      <c r="AK72" s="776"/>
      <c r="AL72" s="776"/>
      <c r="AM72" s="776"/>
      <c r="AN72" s="776"/>
      <c r="AO72" s="776"/>
      <c r="AP72" s="776"/>
      <c r="AQ72" s="776"/>
    </row>
    <row r="73" spans="1:43" s="780" customFormat="1" ht="15" customHeight="1" x14ac:dyDescent="0.2">
      <c r="A73" s="742" t="s">
        <v>253</v>
      </c>
      <c r="B73" s="731">
        <f>[2]Database!$G191</f>
        <v>245.51</v>
      </c>
      <c r="C73" s="724">
        <f>[2]Database!$K191</f>
        <v>86.89</v>
      </c>
      <c r="D73" s="727">
        <f>SUM([2]Database!$L$189:$L$191)*1000</f>
        <v>10830.927500000002</v>
      </c>
      <c r="E73" s="734">
        <f>SUM([6]Database!$C$81:$C$83)</f>
        <v>598.41955999999993</v>
      </c>
      <c r="F73" s="734">
        <f>SUM([5]Database!$D$56:$D$58)</f>
        <v>36.925600000000003</v>
      </c>
      <c r="G73" s="734">
        <f>SUM([3]Database!$C$176:$C$178)</f>
        <v>1033</v>
      </c>
      <c r="H73" s="730">
        <f>SUM([4]Database!$C$247:$C$249)</f>
        <v>213</v>
      </c>
      <c r="I73" s="776"/>
      <c r="J73" s="782"/>
      <c r="K73" s="776"/>
      <c r="L73" s="776"/>
      <c r="M73" s="776"/>
      <c r="N73" s="776"/>
      <c r="O73" s="776"/>
      <c r="P73" s="776"/>
      <c r="Q73" s="776"/>
      <c r="R73" s="776"/>
      <c r="S73" s="776"/>
      <c r="T73" s="776"/>
      <c r="U73" s="776"/>
      <c r="V73" s="776"/>
      <c r="W73" s="776"/>
      <c r="X73" s="776"/>
      <c r="Y73" s="776"/>
      <c r="Z73" s="776"/>
      <c r="AA73" s="776"/>
      <c r="AB73" s="776"/>
      <c r="AC73" s="776"/>
      <c r="AD73" s="776"/>
      <c r="AE73" s="776"/>
      <c r="AF73" s="776"/>
      <c r="AG73" s="776"/>
      <c r="AH73" s="776"/>
      <c r="AI73" s="776"/>
      <c r="AJ73" s="776"/>
      <c r="AK73" s="776"/>
      <c r="AL73" s="776"/>
      <c r="AM73" s="776"/>
      <c r="AN73" s="776"/>
      <c r="AO73" s="776"/>
      <c r="AP73" s="776"/>
      <c r="AQ73" s="776"/>
    </row>
    <row r="74" spans="1:43" s="780" customFormat="1" ht="15" customHeight="1" x14ac:dyDescent="0.2">
      <c r="A74" s="742" t="s">
        <v>254</v>
      </c>
      <c r="B74" s="731">
        <f>[2]Database!$G194</f>
        <v>251.39</v>
      </c>
      <c r="C74" s="724">
        <f>[2]Database!$K194</f>
        <v>89.21</v>
      </c>
      <c r="D74" s="727">
        <f>SUM([2]Database!$L$192:$L$194)*1000</f>
        <v>10564.955</v>
      </c>
      <c r="E74" s="734">
        <f>SUM([6]Database!$C$84:$C$86)</f>
        <v>696.3719900000001</v>
      </c>
      <c r="F74" s="734">
        <f>SUM([5]Database!$D$59:$D$61)</f>
        <v>51.246539999999996</v>
      </c>
      <c r="G74" s="734">
        <f>SUM([3]Database!$C$179:$C$181)</f>
        <v>1196</v>
      </c>
      <c r="H74" s="730">
        <f>SUM([4]Database!$C$250:$C$252)</f>
        <v>254</v>
      </c>
      <c r="I74" s="776"/>
      <c r="J74" s="782"/>
      <c r="K74" s="776"/>
      <c r="L74" s="776"/>
      <c r="M74" s="776"/>
      <c r="N74" s="776"/>
      <c r="O74" s="776"/>
      <c r="P74" s="776"/>
      <c r="Q74" s="776"/>
      <c r="R74" s="776"/>
      <c r="S74" s="776"/>
      <c r="T74" s="776"/>
      <c r="U74" s="776"/>
      <c r="V74" s="776"/>
      <c r="W74" s="776"/>
      <c r="X74" s="776"/>
      <c r="Y74" s="776"/>
      <c r="Z74" s="776"/>
      <c r="AA74" s="776"/>
      <c r="AB74" s="776"/>
      <c r="AC74" s="776"/>
      <c r="AD74" s="776"/>
      <c r="AE74" s="776"/>
      <c r="AF74" s="776"/>
      <c r="AG74" s="776"/>
      <c r="AH74" s="776"/>
      <c r="AI74" s="776"/>
      <c r="AJ74" s="776"/>
      <c r="AK74" s="776"/>
      <c r="AL74" s="776"/>
      <c r="AM74" s="776"/>
      <c r="AN74" s="776"/>
      <c r="AO74" s="776"/>
      <c r="AP74" s="776"/>
      <c r="AQ74" s="776"/>
    </row>
    <row r="75" spans="1:43" s="780" customFormat="1" ht="15" customHeight="1" x14ac:dyDescent="0.2">
      <c r="A75" s="742" t="s">
        <v>255</v>
      </c>
      <c r="B75" s="731">
        <f>[2]Database!$G197</f>
        <v>245.38</v>
      </c>
      <c r="C75" s="724">
        <f>[2]Database!$K197</f>
        <v>84.86</v>
      </c>
      <c r="D75" s="727">
        <f>SUM([2]Database!$L$195:$L$197)*1000</f>
        <v>10608.734999999999</v>
      </c>
      <c r="E75" s="734">
        <f>SUM([6]Database!$C$87:$C$89)</f>
        <v>946.53521999999998</v>
      </c>
      <c r="F75" s="734">
        <f>SUM([5]Database!$D$62:$D$64)</f>
        <v>225.35979999999998</v>
      </c>
      <c r="G75" s="734">
        <f>SUM([3]Database!$C$182:$C$184)</f>
        <v>1392</v>
      </c>
      <c r="H75" s="730">
        <f>SUM([4]Database!$C$253:$C$255)</f>
        <v>256</v>
      </c>
      <c r="I75" s="776"/>
      <c r="J75" s="782"/>
      <c r="K75" s="776"/>
      <c r="L75" s="776"/>
      <c r="M75" s="776"/>
      <c r="N75" s="776"/>
      <c r="O75" s="776"/>
      <c r="P75" s="776"/>
      <c r="Q75" s="776"/>
      <c r="R75" s="776"/>
      <c r="S75" s="776"/>
      <c r="T75" s="776"/>
      <c r="U75" s="776"/>
      <c r="V75" s="776"/>
      <c r="W75" s="776"/>
      <c r="X75" s="776"/>
      <c r="Y75" s="776"/>
      <c r="Z75" s="776"/>
      <c r="AA75" s="776"/>
      <c r="AB75" s="776"/>
      <c r="AC75" s="776"/>
      <c r="AD75" s="776"/>
      <c r="AE75" s="776"/>
      <c r="AF75" s="776"/>
      <c r="AG75" s="776"/>
      <c r="AH75" s="776"/>
      <c r="AI75" s="776"/>
      <c r="AJ75" s="776"/>
      <c r="AK75" s="776"/>
      <c r="AL75" s="776"/>
      <c r="AM75" s="776"/>
      <c r="AN75" s="776"/>
      <c r="AO75" s="776"/>
      <c r="AP75" s="776"/>
      <c r="AQ75" s="776"/>
    </row>
    <row r="76" spans="1:43" s="780" customFormat="1" ht="15" customHeight="1" x14ac:dyDescent="0.2">
      <c r="A76" s="742" t="s">
        <v>256</v>
      </c>
      <c r="B76" s="731">
        <f>[2]Database!$G200</f>
        <v>250.67</v>
      </c>
      <c r="C76" s="724">
        <f>[2]Database!$K200</f>
        <v>84.86</v>
      </c>
      <c r="D76" s="727">
        <f>SUM([2]Database!$L$198:$L$200)*1000</f>
        <v>11378.31</v>
      </c>
      <c r="E76" s="734">
        <f>SUM([6]Database!$C$90:$C$92)</f>
        <v>2767.1817700000001</v>
      </c>
      <c r="F76" s="734">
        <f>SUM([5]Database!$D$65:$D$67)</f>
        <v>138.84647999999999</v>
      </c>
      <c r="G76" s="734">
        <f>SUM([3]Database!$C$185:$C$187)</f>
        <v>1957</v>
      </c>
      <c r="H76" s="730">
        <f>SUM([4]Database!$C$256:$C$258)</f>
        <v>299</v>
      </c>
      <c r="I76" s="776"/>
      <c r="J76" s="782"/>
      <c r="K76" s="776"/>
      <c r="L76" s="776"/>
      <c r="M76" s="776"/>
      <c r="N76" s="776"/>
      <c r="O76" s="776"/>
      <c r="P76" s="776"/>
      <c r="Q76" s="776"/>
      <c r="R76" s="776"/>
      <c r="S76" s="776"/>
      <c r="T76" s="776"/>
      <c r="U76" s="776"/>
      <c r="V76" s="776"/>
      <c r="W76" s="776"/>
      <c r="X76" s="776"/>
      <c r="Y76" s="776"/>
      <c r="Z76" s="776"/>
      <c r="AA76" s="776"/>
      <c r="AB76" s="776"/>
      <c r="AC76" s="776"/>
      <c r="AD76" s="776"/>
      <c r="AE76" s="776"/>
      <c r="AF76" s="776"/>
      <c r="AG76" s="776"/>
      <c r="AH76" s="776"/>
      <c r="AI76" s="776"/>
      <c r="AJ76" s="776"/>
      <c r="AK76" s="776"/>
      <c r="AL76" s="776"/>
      <c r="AM76" s="776"/>
      <c r="AN76" s="776"/>
      <c r="AO76" s="776"/>
      <c r="AP76" s="776"/>
      <c r="AQ76" s="776"/>
    </row>
    <row r="77" spans="1:43" s="780" customFormat="1" ht="15" customHeight="1" x14ac:dyDescent="0.2">
      <c r="A77" s="742" t="s">
        <v>257</v>
      </c>
      <c r="B77" s="731">
        <f>[2]Database!$G203</f>
        <v>279.60000000000002</v>
      </c>
      <c r="C77" s="724">
        <f>[2]Database!$K203</f>
        <v>84.86</v>
      </c>
      <c r="D77" s="727">
        <f>SUM([2]Database!$L$201:$L$203)*1000</f>
        <v>11373.111999999999</v>
      </c>
      <c r="E77" s="734">
        <f>SUM([6]Database!$C$93:$C$95)</f>
        <v>890.43002999999999</v>
      </c>
      <c r="F77" s="734">
        <f>SUM([5]Database!$D$68:$D$70)</f>
        <v>53.427999999999997</v>
      </c>
      <c r="G77" s="734">
        <f>SUM([3]Database!$C$188:$C$190)</f>
        <v>1213</v>
      </c>
      <c r="H77" s="730">
        <f>SUM([4]Database!$C$259:$C$261)</f>
        <v>232</v>
      </c>
      <c r="I77" s="776"/>
      <c r="J77" s="782"/>
      <c r="K77" s="776"/>
      <c r="L77" s="776"/>
      <c r="M77" s="776"/>
      <c r="N77" s="776"/>
      <c r="O77" s="776"/>
      <c r="P77" s="776"/>
      <c r="Q77" s="776"/>
      <c r="R77" s="776"/>
      <c r="S77" s="776"/>
      <c r="T77" s="776"/>
      <c r="U77" s="776"/>
      <c r="V77" s="776"/>
      <c r="W77" s="776"/>
      <c r="X77" s="776"/>
      <c r="Y77" s="776"/>
      <c r="Z77" s="776"/>
      <c r="AA77" s="776"/>
      <c r="AB77" s="776"/>
      <c r="AC77" s="776"/>
      <c r="AD77" s="776"/>
      <c r="AE77" s="776"/>
      <c r="AF77" s="776"/>
      <c r="AG77" s="776"/>
      <c r="AH77" s="776"/>
      <c r="AI77" s="776"/>
      <c r="AJ77" s="776"/>
      <c r="AK77" s="776"/>
      <c r="AL77" s="776"/>
      <c r="AM77" s="776"/>
      <c r="AN77" s="776"/>
      <c r="AO77" s="776"/>
      <c r="AP77" s="776"/>
      <c r="AQ77" s="776"/>
    </row>
    <row r="78" spans="1:43" s="780" customFormat="1" ht="15" customHeight="1" x14ac:dyDescent="0.2">
      <c r="A78" s="742" t="s">
        <v>258</v>
      </c>
      <c r="B78" s="731">
        <f>[2]Database!$G206</f>
        <v>290.3</v>
      </c>
      <c r="C78" s="724">
        <f>[2]Database!$K206</f>
        <v>98</v>
      </c>
      <c r="D78" s="727">
        <f>SUM([2]Database!$L$204:$L$206)*1000</f>
        <v>11210.539999999999</v>
      </c>
      <c r="E78" s="734">
        <f>SUM([6]Database!$C$96:$C$98)</f>
        <v>1372.0540500000002</v>
      </c>
      <c r="F78" s="734">
        <f>SUM([5]Database!$D$71:$D$73)</f>
        <v>32.347999999999999</v>
      </c>
      <c r="G78" s="734">
        <f>SUM([3]Database!$C$191:$C$193)</f>
        <v>1454</v>
      </c>
      <c r="H78" s="730">
        <f>SUM([4]Database!$C$262:$C$264)</f>
        <v>242</v>
      </c>
      <c r="I78" s="776"/>
      <c r="J78" s="782"/>
      <c r="K78" s="776"/>
      <c r="L78" s="776"/>
      <c r="M78" s="776"/>
      <c r="N78" s="776"/>
      <c r="O78" s="776"/>
      <c r="P78" s="776"/>
      <c r="Q78" s="776"/>
      <c r="R78" s="776"/>
      <c r="S78" s="776"/>
      <c r="T78" s="776"/>
      <c r="U78" s="776"/>
      <c r="V78" s="776"/>
      <c r="W78" s="776"/>
      <c r="X78" s="776"/>
      <c r="Y78" s="776"/>
      <c r="Z78" s="776"/>
      <c r="AA78" s="776"/>
      <c r="AB78" s="776"/>
      <c r="AC78" s="776"/>
      <c r="AD78" s="776"/>
      <c r="AE78" s="776"/>
      <c r="AF78" s="776"/>
      <c r="AG78" s="776"/>
      <c r="AH78" s="776"/>
      <c r="AI78" s="776"/>
      <c r="AJ78" s="776"/>
      <c r="AK78" s="776"/>
      <c r="AL78" s="776"/>
      <c r="AM78" s="776"/>
      <c r="AN78" s="776"/>
      <c r="AO78" s="776"/>
      <c r="AP78" s="776"/>
      <c r="AQ78" s="776"/>
    </row>
    <row r="79" spans="1:43" s="780" customFormat="1" ht="15" customHeight="1" x14ac:dyDescent="0.2">
      <c r="A79" s="742" t="s">
        <v>259</v>
      </c>
      <c r="B79" s="731">
        <f>[2]Database!$G209</f>
        <v>272.07</v>
      </c>
      <c r="C79" s="724">
        <f>[2]Database!$K209</f>
        <v>98</v>
      </c>
      <c r="D79" s="727">
        <f>SUM([2]Database!$L$207:$L$209)*1000</f>
        <v>10497.898999999999</v>
      </c>
      <c r="E79" s="734">
        <f>SUM([6]Database!$C$99:$C$101)</f>
        <v>1408.7069799999999</v>
      </c>
      <c r="F79" s="734">
        <f>SUM([5]Database!$D$74:$D$76)</f>
        <v>68.258079999999993</v>
      </c>
      <c r="G79" s="734">
        <f>SUM([3]Database!$C$194:$C$196)</f>
        <v>1345</v>
      </c>
      <c r="H79" s="730">
        <f>SUM([4]Database!$C$265:$C$267)</f>
        <v>228</v>
      </c>
      <c r="I79" s="776"/>
      <c r="J79" s="782"/>
      <c r="K79" s="776"/>
      <c r="L79" s="776"/>
      <c r="M79" s="776"/>
      <c r="N79" s="776"/>
      <c r="O79" s="776"/>
      <c r="P79" s="776"/>
      <c r="Q79" s="776"/>
      <c r="R79" s="776"/>
      <c r="S79" s="776"/>
      <c r="T79" s="776"/>
      <c r="U79" s="776"/>
      <c r="V79" s="776"/>
      <c r="W79" s="776"/>
      <c r="X79" s="776"/>
      <c r="Y79" s="776"/>
      <c r="Z79" s="776"/>
      <c r="AA79" s="776"/>
      <c r="AB79" s="776"/>
      <c r="AC79" s="776"/>
      <c r="AD79" s="776"/>
      <c r="AE79" s="776"/>
      <c r="AF79" s="776"/>
      <c r="AG79" s="776"/>
      <c r="AH79" s="776"/>
      <c r="AI79" s="776"/>
      <c r="AJ79" s="776"/>
      <c r="AK79" s="776"/>
      <c r="AL79" s="776"/>
      <c r="AM79" s="776"/>
      <c r="AN79" s="776"/>
      <c r="AO79" s="776"/>
      <c r="AP79" s="776"/>
      <c r="AQ79" s="776"/>
    </row>
    <row r="80" spans="1:43" s="780" customFormat="1" ht="15" customHeight="1" x14ac:dyDescent="0.2">
      <c r="A80" s="742" t="s">
        <v>260</v>
      </c>
      <c r="B80" s="731">
        <f>[2]Database!$G212</f>
        <v>270.58999999999997</v>
      </c>
      <c r="C80" s="724">
        <f>[2]Database!$K212</f>
        <v>93.28</v>
      </c>
      <c r="D80" s="727">
        <f>SUM([2]Database!$L$210:$L$212)*1000</f>
        <v>11553.494000000001</v>
      </c>
      <c r="E80" s="734">
        <f>SUM([6]Database!$C$102:$C$104)</f>
        <v>4798.45586</v>
      </c>
      <c r="F80" s="734">
        <f>SUM([5]Database!$D$77:$D$79)</f>
        <v>212.20660999999998</v>
      </c>
      <c r="G80" s="734">
        <f>SUM([3]Database!$C$197:$C$199)</f>
        <v>2155</v>
      </c>
      <c r="H80" s="730">
        <f>SUM([4]Database!$C$268:$C$270)</f>
        <v>359</v>
      </c>
      <c r="I80" s="776"/>
      <c r="J80" s="782"/>
      <c r="K80" s="776"/>
      <c r="L80" s="776"/>
      <c r="M80" s="776"/>
      <c r="N80" s="776"/>
      <c r="O80" s="776"/>
      <c r="P80" s="776"/>
      <c r="Q80" s="776"/>
      <c r="R80" s="776"/>
      <c r="S80" s="776"/>
      <c r="T80" s="776"/>
      <c r="U80" s="776"/>
      <c r="V80" s="776"/>
      <c r="W80" s="776"/>
      <c r="X80" s="776"/>
      <c r="Y80" s="776"/>
      <c r="Z80" s="776"/>
      <c r="AA80" s="776"/>
      <c r="AB80" s="776"/>
      <c r="AC80" s="776"/>
      <c r="AD80" s="776"/>
      <c r="AE80" s="776"/>
      <c r="AF80" s="776"/>
      <c r="AG80" s="776"/>
      <c r="AH80" s="776"/>
      <c r="AI80" s="776"/>
      <c r="AJ80" s="776"/>
      <c r="AK80" s="776"/>
      <c r="AL80" s="776"/>
      <c r="AM80" s="776"/>
      <c r="AN80" s="776"/>
      <c r="AO80" s="776"/>
      <c r="AP80" s="776"/>
      <c r="AQ80" s="776"/>
    </row>
    <row r="81" spans="1:43" s="780" customFormat="1" ht="15" customHeight="1" x14ac:dyDescent="0.2">
      <c r="A81" s="742" t="s">
        <v>261</v>
      </c>
      <c r="B81" s="731">
        <f>[2]Database!$G215</f>
        <v>287</v>
      </c>
      <c r="C81" s="724">
        <f>[2]Database!$K215</f>
        <v>93.28</v>
      </c>
      <c r="D81" s="727">
        <f>SUM([2]Database!$L$213:$L$215)*1000</f>
        <v>11707.22</v>
      </c>
      <c r="E81" s="734">
        <f>SUM([6]Database!$C$105:$C$107)</f>
        <v>1140.5127</v>
      </c>
      <c r="F81" s="734">
        <f>SUM([5]Database!$D$80:$D$82)</f>
        <v>150.19884999999999</v>
      </c>
      <c r="G81" s="734">
        <f>SUM([3]Database!$C$200:$C$202)</f>
        <v>1071</v>
      </c>
      <c r="H81" s="730">
        <f>SUM([4]Database!$C$271:$C$273)</f>
        <v>284</v>
      </c>
      <c r="I81" s="776"/>
      <c r="J81" s="782"/>
      <c r="K81" s="776"/>
      <c r="L81" s="776"/>
      <c r="M81" s="776"/>
      <c r="N81" s="776"/>
      <c r="O81" s="776"/>
      <c r="P81" s="776"/>
      <c r="Q81" s="776"/>
      <c r="R81" s="776"/>
      <c r="S81" s="776"/>
      <c r="T81" s="776"/>
      <c r="U81" s="776"/>
      <c r="V81" s="776"/>
      <c r="W81" s="776"/>
      <c r="X81" s="776"/>
      <c r="Y81" s="776"/>
      <c r="Z81" s="776"/>
      <c r="AA81" s="776"/>
      <c r="AB81" s="776"/>
      <c r="AC81" s="776"/>
      <c r="AD81" s="776"/>
      <c r="AE81" s="776"/>
      <c r="AF81" s="776"/>
      <c r="AG81" s="776"/>
      <c r="AH81" s="776"/>
      <c r="AI81" s="776"/>
      <c r="AJ81" s="776"/>
      <c r="AK81" s="776"/>
      <c r="AL81" s="776"/>
      <c r="AM81" s="776"/>
      <c r="AN81" s="776"/>
      <c r="AO81" s="776"/>
      <c r="AP81" s="776"/>
      <c r="AQ81" s="776"/>
    </row>
    <row r="82" spans="1:43" s="780" customFormat="1" ht="15" customHeight="1" x14ac:dyDescent="0.2">
      <c r="A82" s="742" t="s">
        <v>262</v>
      </c>
      <c r="B82" s="731">
        <f>[2]Database!$G218</f>
        <v>283.94</v>
      </c>
      <c r="C82" s="724">
        <f>[2]Database!$K218</f>
        <v>93.2</v>
      </c>
      <c r="D82" s="727">
        <f>SUM([2]Database!$L$216:$L$218)*1000</f>
        <v>10956.346</v>
      </c>
      <c r="E82" s="734">
        <f>SUM([6]Database!$C$108:$C$110)</f>
        <v>1418.3784499999999</v>
      </c>
      <c r="F82" s="734">
        <f>SUM([5]Database!$D$83:$D$85)</f>
        <v>257.36080000000004</v>
      </c>
      <c r="G82" s="734">
        <f>SUM([3]Database!$C$203:$C$205)</f>
        <v>1343</v>
      </c>
      <c r="H82" s="730">
        <f>SUM([4]Database!$C$274:$C$276)</f>
        <v>293</v>
      </c>
      <c r="I82" s="776"/>
      <c r="J82" s="782"/>
      <c r="K82" s="776"/>
      <c r="L82" s="776"/>
      <c r="M82" s="776"/>
      <c r="N82" s="776"/>
      <c r="O82" s="776"/>
      <c r="P82" s="776"/>
      <c r="Q82" s="776"/>
      <c r="R82" s="776"/>
      <c r="S82" s="776"/>
      <c r="T82" s="776"/>
      <c r="U82" s="776"/>
      <c r="V82" s="776"/>
      <c r="W82" s="776"/>
      <c r="X82" s="776"/>
      <c r="Y82" s="776"/>
      <c r="Z82" s="776"/>
      <c r="AA82" s="776"/>
      <c r="AB82" s="776"/>
      <c r="AC82" s="776"/>
      <c r="AD82" s="776"/>
      <c r="AE82" s="776"/>
      <c r="AF82" s="776"/>
      <c r="AG82" s="776"/>
      <c r="AH82" s="776"/>
      <c r="AI82" s="776"/>
      <c r="AJ82" s="776"/>
      <c r="AK82" s="776"/>
      <c r="AL82" s="776"/>
      <c r="AM82" s="776"/>
      <c r="AN82" s="776"/>
      <c r="AO82" s="776"/>
      <c r="AP82" s="776"/>
      <c r="AQ82" s="776"/>
    </row>
    <row r="83" spans="1:43" s="780" customFormat="1" ht="15" customHeight="1" x14ac:dyDescent="0.2">
      <c r="A83" s="742" t="s">
        <v>263</v>
      </c>
      <c r="B83" s="731">
        <f>[2]Database!$G221</f>
        <v>287.52</v>
      </c>
      <c r="C83" s="724">
        <f>[2]Database!$K221</f>
        <v>85.27</v>
      </c>
      <c r="D83" s="727">
        <f>SUM([2]Database!$L$219:$L$221)*1000</f>
        <v>10653.278</v>
      </c>
      <c r="E83" s="734">
        <f>SUM([6]Database!$C$111:$C$113)</f>
        <v>1807.2613900000001</v>
      </c>
      <c r="F83" s="734">
        <f>SUM([5]Database!$D$86:$D$88)</f>
        <v>298.64021000000002</v>
      </c>
      <c r="G83" s="734">
        <f>SUM([3]Database!$C$206:$C$208)</f>
        <v>1565</v>
      </c>
      <c r="H83" s="730">
        <f>SUM([4]Database!$C$277:$C$279)</f>
        <v>306</v>
      </c>
      <c r="I83" s="776"/>
      <c r="J83" s="782"/>
      <c r="K83" s="776"/>
      <c r="L83" s="776"/>
      <c r="M83" s="776"/>
      <c r="N83" s="776"/>
      <c r="O83" s="776"/>
      <c r="P83" s="776"/>
      <c r="Q83" s="776"/>
      <c r="R83" s="776"/>
      <c r="S83" s="776"/>
      <c r="T83" s="776"/>
      <c r="U83" s="776"/>
      <c r="V83" s="776"/>
      <c r="W83" s="776"/>
      <c r="X83" s="776"/>
      <c r="Y83" s="776"/>
      <c r="Z83" s="776"/>
      <c r="AA83" s="776"/>
      <c r="AB83" s="776"/>
      <c r="AC83" s="776"/>
      <c r="AD83" s="776"/>
      <c r="AE83" s="776"/>
      <c r="AF83" s="776"/>
      <c r="AG83" s="776"/>
      <c r="AH83" s="776"/>
      <c r="AI83" s="776"/>
      <c r="AJ83" s="776"/>
      <c r="AK83" s="776"/>
      <c r="AL83" s="776"/>
      <c r="AM83" s="776"/>
      <c r="AN83" s="776"/>
      <c r="AO83" s="776"/>
      <c r="AP83" s="776"/>
      <c r="AQ83" s="776"/>
    </row>
    <row r="84" spans="1:43" s="780" customFormat="1" ht="12.75" customHeight="1" x14ac:dyDescent="0.2">
      <c r="A84" s="742" t="s">
        <v>264</v>
      </c>
      <c r="B84" s="731">
        <f>[2]Database!$G224</f>
        <v>280.08999999999997</v>
      </c>
      <c r="C84" s="724">
        <f>[2]Database!$K224</f>
        <v>85.27</v>
      </c>
      <c r="D84" s="727">
        <f>SUM([2]Database!$L$222:$L$224)*1000</f>
        <v>11786.739000000001</v>
      </c>
      <c r="E84" s="734">
        <f>SUM([6]Database!$C$114:$C$116)</f>
        <v>5130.8659900000002</v>
      </c>
      <c r="F84" s="734">
        <f>SUM([5]Database!$D$89:$D$91)</f>
        <v>615.02563000000009</v>
      </c>
      <c r="G84" s="734">
        <f>SUM([3]Database!$C$209:$C$211)</f>
        <v>1886</v>
      </c>
      <c r="H84" s="730">
        <f>SUM([4]Database!$C$280:$C$282)</f>
        <v>384</v>
      </c>
      <c r="I84" s="776"/>
      <c r="J84" s="782"/>
      <c r="K84" s="776"/>
      <c r="L84" s="776"/>
      <c r="M84" s="776"/>
      <c r="N84" s="776"/>
      <c r="O84" s="776"/>
      <c r="P84" s="776"/>
      <c r="Q84" s="776"/>
      <c r="R84" s="776"/>
      <c r="S84" s="776"/>
      <c r="T84" s="776"/>
      <c r="U84" s="776"/>
      <c r="V84" s="776"/>
      <c r="W84" s="776"/>
      <c r="X84" s="776"/>
      <c r="Y84" s="776"/>
      <c r="Z84" s="776"/>
      <c r="AA84" s="776"/>
      <c r="AB84" s="776"/>
      <c r="AC84" s="776"/>
      <c r="AD84" s="776"/>
      <c r="AE84" s="776"/>
      <c r="AF84" s="776"/>
      <c r="AG84" s="776"/>
      <c r="AH84" s="776"/>
      <c r="AI84" s="776"/>
      <c r="AJ84" s="776"/>
      <c r="AK84" s="776"/>
      <c r="AL84" s="776"/>
      <c r="AM84" s="776"/>
      <c r="AN84" s="776"/>
      <c r="AO84" s="776"/>
      <c r="AP84" s="776"/>
      <c r="AQ84" s="776"/>
    </row>
    <row r="85" spans="1:43" s="780" customFormat="1" ht="15" customHeight="1" x14ac:dyDescent="0.2">
      <c r="A85" s="742" t="s">
        <v>265</v>
      </c>
      <c r="B85" s="732">
        <f>[2]Database!$G227</f>
        <v>297.62</v>
      </c>
      <c r="C85" s="732">
        <f>[2]Database!$K227</f>
        <v>85.27</v>
      </c>
      <c r="D85" s="733">
        <f>SUM([2]Database!$L$225:$L$227)*1000</f>
        <v>12088.626</v>
      </c>
      <c r="E85" s="734">
        <f>SUM([6]Database!$C$117:$C$119)</f>
        <v>871.13822000000005</v>
      </c>
      <c r="F85" s="734">
        <f>SUM([5]Database!$D$92:$D$94)</f>
        <v>271.05470000000003</v>
      </c>
      <c r="G85" s="734">
        <f>SUM([3]Database!$C$212:$C$214)</f>
        <v>1166</v>
      </c>
      <c r="H85" s="730">
        <f>SUM([4]Database!$C$283:$C$285)</f>
        <v>344</v>
      </c>
      <c r="I85" s="776"/>
      <c r="J85" s="782"/>
      <c r="K85" s="776"/>
      <c r="L85" s="776"/>
      <c r="M85" s="783"/>
      <c r="N85" s="776"/>
      <c r="O85" s="776"/>
      <c r="P85" s="776"/>
      <c r="Q85" s="776"/>
      <c r="R85" s="776"/>
      <c r="S85" s="776"/>
      <c r="T85" s="776"/>
      <c r="U85" s="776"/>
      <c r="V85" s="776"/>
      <c r="W85" s="776"/>
      <c r="X85" s="776"/>
      <c r="Y85" s="776"/>
      <c r="Z85" s="776"/>
      <c r="AA85" s="776"/>
      <c r="AB85" s="776"/>
      <c r="AC85" s="776"/>
      <c r="AD85" s="776"/>
      <c r="AE85" s="776"/>
      <c r="AF85" s="776"/>
      <c r="AG85" s="776"/>
      <c r="AH85" s="776"/>
      <c r="AI85" s="776"/>
      <c r="AJ85" s="776"/>
      <c r="AK85" s="776"/>
      <c r="AL85" s="776"/>
      <c r="AM85" s="776"/>
      <c r="AN85" s="776"/>
      <c r="AO85" s="776"/>
      <c r="AP85" s="776"/>
      <c r="AQ85" s="776"/>
    </row>
    <row r="86" spans="1:43" s="780" customFormat="1" ht="15" customHeight="1" x14ac:dyDescent="0.2">
      <c r="A86" s="742" t="s">
        <v>266</v>
      </c>
      <c r="B86" s="732">
        <f>[2]Database!$G230</f>
        <v>275.45</v>
      </c>
      <c r="C86" s="732">
        <f>[2]Database!$K230</f>
        <v>89.25</v>
      </c>
      <c r="D86" s="733">
        <f>SUM([2]Database!$L$228:$L$230)*1000</f>
        <v>11859.687999999998</v>
      </c>
      <c r="E86" s="734">
        <f>SUM([6]Database!$C$120:$C$122)</f>
        <v>1968.3734999999999</v>
      </c>
      <c r="F86" s="734">
        <f>SUM([5]Database!$D$95:$D$97)</f>
        <v>171.149</v>
      </c>
      <c r="G86" s="734">
        <f>SUM([3]Database!$C$215:$C$217)</f>
        <v>1624</v>
      </c>
      <c r="H86" s="730">
        <f>SUM([4]Database!$C$286:$C$288)</f>
        <v>373</v>
      </c>
      <c r="I86" s="776"/>
      <c r="J86" s="782"/>
      <c r="K86" s="776"/>
      <c r="L86" s="776"/>
      <c r="M86" s="776"/>
      <c r="N86" s="776"/>
      <c r="O86" s="776"/>
      <c r="P86" s="776"/>
      <c r="Q86" s="776"/>
      <c r="R86" s="776"/>
      <c r="S86" s="776"/>
      <c r="T86" s="776"/>
      <c r="U86" s="776"/>
      <c r="V86" s="776"/>
      <c r="W86" s="776"/>
      <c r="X86" s="776"/>
      <c r="Y86" s="776"/>
      <c r="Z86" s="776"/>
      <c r="AA86" s="776"/>
      <c r="AB86" s="776"/>
      <c r="AC86" s="776"/>
      <c r="AD86" s="776"/>
      <c r="AE86" s="776"/>
      <c r="AF86" s="776"/>
      <c r="AG86" s="776"/>
      <c r="AH86" s="776"/>
      <c r="AI86" s="776"/>
      <c r="AJ86" s="776"/>
      <c r="AK86" s="776"/>
      <c r="AL86" s="776"/>
      <c r="AM86" s="776"/>
      <c r="AN86" s="776"/>
      <c r="AO86" s="776"/>
      <c r="AP86" s="776"/>
      <c r="AQ86" s="776"/>
    </row>
    <row r="87" spans="1:43" s="780" customFormat="1" ht="15" customHeight="1" x14ac:dyDescent="0.2">
      <c r="A87" s="742" t="s">
        <v>267</v>
      </c>
      <c r="B87" s="732">
        <f>[2]Database!$G233</f>
        <v>285.89</v>
      </c>
      <c r="C87" s="732">
        <f>[2]Database!$K233</f>
        <v>92.74</v>
      </c>
      <c r="D87" s="733">
        <f>SUM([2]Database!$L$231:$L$233)*1000</f>
        <v>11229.706</v>
      </c>
      <c r="E87" s="734">
        <f>SUM([6]Database!$C$123:$C$125)</f>
        <v>1763.7586099999999</v>
      </c>
      <c r="F87" s="734">
        <f>SUM([5]Database!$D$98:$D$100)</f>
        <v>41.279409999999999</v>
      </c>
      <c r="G87" s="734">
        <f>SUM([3]Database!$C$218:$C$220)</f>
        <v>1854</v>
      </c>
      <c r="H87" s="730">
        <f>SUM([4]Database!$C$289:$C$291)</f>
        <v>435</v>
      </c>
      <c r="I87" s="776"/>
      <c r="J87" s="782"/>
      <c r="K87" s="776"/>
      <c r="L87" s="776"/>
      <c r="M87" s="776"/>
      <c r="N87" s="776"/>
      <c r="O87" s="776"/>
      <c r="P87" s="776"/>
      <c r="Q87" s="776"/>
      <c r="R87" s="776"/>
      <c r="S87" s="776"/>
      <c r="T87" s="776"/>
      <c r="U87" s="776"/>
      <c r="V87" s="776"/>
      <c r="W87" s="776"/>
      <c r="X87" s="776"/>
      <c r="Y87" s="776"/>
      <c r="Z87" s="776"/>
      <c r="AA87" s="776"/>
      <c r="AB87" s="776"/>
      <c r="AC87" s="776"/>
      <c r="AD87" s="776"/>
      <c r="AE87" s="776"/>
      <c r="AF87" s="776"/>
      <c r="AG87" s="776"/>
      <c r="AH87" s="776"/>
      <c r="AI87" s="776"/>
      <c r="AJ87" s="776"/>
      <c r="AK87" s="776"/>
      <c r="AL87" s="776"/>
      <c r="AM87" s="776"/>
      <c r="AN87" s="776"/>
      <c r="AO87" s="776"/>
      <c r="AP87" s="776"/>
      <c r="AQ87" s="776"/>
    </row>
    <row r="88" spans="1:43" s="780" customFormat="1" ht="15" customHeight="1" x14ac:dyDescent="0.2">
      <c r="A88" s="742" t="s">
        <v>268</v>
      </c>
      <c r="B88" s="732">
        <f>[2]Database!$G236</f>
        <v>279.52999999999997</v>
      </c>
      <c r="C88" s="732">
        <f>[2]Database!$K236</f>
        <v>92.820000000000007</v>
      </c>
      <c r="D88" s="733">
        <f>SUM([2]Database!$L$234:$L$236)*1000</f>
        <v>12522.808000000001</v>
      </c>
      <c r="E88" s="734">
        <f>SUM([6]Database!$C$126:$C$128)</f>
        <v>5273.9929700000002</v>
      </c>
      <c r="F88" s="734">
        <f>SUM([5]Database!$D$101:$D$103)</f>
        <v>258.08575999999999</v>
      </c>
      <c r="G88" s="734">
        <f>SUM([3]Database!$C$221:$C$223)</f>
        <v>2105</v>
      </c>
      <c r="H88" s="730">
        <f>SUM([4]Database!$C$292:$C$294)</f>
        <v>433</v>
      </c>
      <c r="I88" s="776"/>
      <c r="J88" s="782"/>
      <c r="K88" s="776"/>
      <c r="L88" s="776"/>
      <c r="M88" s="776"/>
      <c r="N88" s="776"/>
      <c r="O88" s="776"/>
      <c r="P88" s="776"/>
      <c r="Q88" s="776"/>
      <c r="R88" s="776"/>
      <c r="S88" s="776"/>
      <c r="T88" s="776"/>
      <c r="U88" s="776"/>
      <c r="V88" s="776"/>
      <c r="W88" s="776"/>
      <c r="X88" s="776"/>
      <c r="Y88" s="776"/>
      <c r="Z88" s="776"/>
      <c r="AA88" s="776"/>
      <c r="AB88" s="776"/>
      <c r="AC88" s="776"/>
      <c r="AD88" s="776"/>
      <c r="AE88" s="776"/>
      <c r="AF88" s="776"/>
      <c r="AG88" s="776"/>
      <c r="AH88" s="776"/>
      <c r="AI88" s="776"/>
      <c r="AJ88" s="776"/>
      <c r="AK88" s="776"/>
      <c r="AL88" s="776"/>
      <c r="AM88" s="776"/>
      <c r="AN88" s="776"/>
      <c r="AO88" s="776"/>
      <c r="AP88" s="776"/>
      <c r="AQ88" s="776"/>
    </row>
    <row r="89" spans="1:43" s="780" customFormat="1" ht="15" customHeight="1" x14ac:dyDescent="0.2">
      <c r="A89" s="742" t="s">
        <v>269</v>
      </c>
      <c r="B89" s="732">
        <f>[2]Database!$G$239</f>
        <v>289.75</v>
      </c>
      <c r="C89" s="732">
        <f>[2]Database!$K239</f>
        <v>91.73</v>
      </c>
      <c r="D89" s="734">
        <f>SUM([2]Database!$L$237:$L$239)*1000</f>
        <v>12232.292999999998</v>
      </c>
      <c r="E89" s="734">
        <f>SUM([6]Database!$C$129:$C$131)</f>
        <v>1338.00513</v>
      </c>
      <c r="F89" s="734">
        <f>SUM([5]Database!$D$104:$D$106)</f>
        <v>120.97559999999999</v>
      </c>
      <c r="G89" s="734">
        <f>SUM([3]Database!$C$224:$C$226)</f>
        <v>1584</v>
      </c>
      <c r="H89" s="730">
        <f>SUM([4]Database!$C$295:$C$297)</f>
        <v>403</v>
      </c>
      <c r="I89" s="776"/>
      <c r="J89" s="782"/>
      <c r="K89" s="776"/>
      <c r="L89" s="776"/>
      <c r="M89" s="776"/>
      <c r="N89" s="776"/>
      <c r="O89" s="776"/>
      <c r="P89" s="776"/>
      <c r="Q89" s="776"/>
      <c r="R89" s="776"/>
      <c r="S89" s="776"/>
      <c r="T89" s="776"/>
      <c r="U89" s="776"/>
      <c r="V89" s="776"/>
      <c r="W89" s="776"/>
      <c r="X89" s="776"/>
      <c r="Y89" s="776"/>
      <c r="Z89" s="776"/>
      <c r="AA89" s="776"/>
      <c r="AB89" s="776"/>
      <c r="AC89" s="776"/>
      <c r="AD89" s="776"/>
      <c r="AE89" s="776"/>
      <c r="AF89" s="776"/>
      <c r="AG89" s="776"/>
      <c r="AH89" s="776"/>
      <c r="AI89" s="776"/>
      <c r="AJ89" s="776"/>
      <c r="AK89" s="776"/>
      <c r="AL89" s="776"/>
      <c r="AM89" s="776"/>
      <c r="AN89" s="776"/>
      <c r="AO89" s="776"/>
      <c r="AP89" s="776"/>
      <c r="AQ89" s="776"/>
    </row>
    <row r="90" spans="1:43" s="780" customFormat="1" ht="15" customHeight="1" x14ac:dyDescent="0.2">
      <c r="A90" s="742" t="s">
        <v>270</v>
      </c>
      <c r="B90" s="732">
        <f>[2]Database!$G$242</f>
        <v>288.54000000000002</v>
      </c>
      <c r="C90" s="732">
        <f>[2]Database!$K242</f>
        <v>91.73</v>
      </c>
      <c r="D90" s="734">
        <f>SUM([2]Database!$L$240:$L$242)*1000</f>
        <v>11833.013000000001</v>
      </c>
      <c r="E90" s="734">
        <f>SUM([6]Database!$C$132:$C$134)</f>
        <v>1968.64562</v>
      </c>
      <c r="F90" s="734">
        <f>SUM([5]Database!$D$107:$D$109)</f>
        <v>89.308970000000002</v>
      </c>
      <c r="G90" s="734">
        <f>SUM([3]Database!$C$227:$C$229)</f>
        <v>1786</v>
      </c>
      <c r="H90" s="730">
        <f>SUM([4]Database!$C$298:$C$300)</f>
        <v>488</v>
      </c>
      <c r="I90" s="776"/>
      <c r="J90" s="782"/>
      <c r="K90" s="776"/>
      <c r="L90" s="776"/>
      <c r="M90" s="776"/>
      <c r="N90" s="776"/>
      <c r="O90" s="776"/>
      <c r="P90" s="776"/>
      <c r="Q90" s="776"/>
      <c r="R90" s="776"/>
      <c r="S90" s="776"/>
      <c r="T90" s="776"/>
      <c r="U90" s="776"/>
      <c r="V90" s="776"/>
      <c r="W90" s="776"/>
      <c r="X90" s="776"/>
      <c r="Y90" s="776"/>
      <c r="Z90" s="776"/>
      <c r="AA90" s="776"/>
      <c r="AB90" s="776"/>
      <c r="AC90" s="776"/>
      <c r="AD90" s="776"/>
      <c r="AE90" s="776"/>
      <c r="AF90" s="776"/>
      <c r="AG90" s="776"/>
      <c r="AH90" s="776"/>
      <c r="AI90" s="776"/>
      <c r="AJ90" s="776"/>
      <c r="AK90" s="776"/>
      <c r="AL90" s="776"/>
      <c r="AM90" s="776"/>
      <c r="AN90" s="776"/>
      <c r="AO90" s="776"/>
      <c r="AP90" s="776"/>
      <c r="AQ90" s="776"/>
    </row>
    <row r="91" spans="1:43" s="780" customFormat="1" ht="15" customHeight="1" x14ac:dyDescent="0.2">
      <c r="A91" s="742" t="s">
        <v>271</v>
      </c>
      <c r="B91" s="732">
        <f>[2]Database!$G$245</f>
        <v>274.37</v>
      </c>
      <c r="C91" s="732">
        <f>[2]Database!$K245</f>
        <v>91.73</v>
      </c>
      <c r="D91" s="734">
        <f>SUM([2]Database!$L$243:$L$245)*1000</f>
        <v>11299.034</v>
      </c>
      <c r="E91" s="734">
        <f>SUM([6]Database!$C$135:$C$137)</f>
        <v>2131.7705799999994</v>
      </c>
      <c r="F91" s="734">
        <f>SUM([5]Database!$D$110:$D$112)</f>
        <v>330.20711</v>
      </c>
      <c r="G91" s="734">
        <f>SUM([3]Database!$C$230:$C$232)</f>
        <v>1856</v>
      </c>
      <c r="H91" s="730">
        <f>SUM([4]Database!$C$301:$C$303)</f>
        <v>501</v>
      </c>
      <c r="I91" s="776"/>
      <c r="J91" s="782"/>
      <c r="K91" s="776"/>
      <c r="L91" s="776"/>
      <c r="M91" s="776"/>
      <c r="N91" s="776"/>
      <c r="O91" s="776"/>
      <c r="P91" s="776"/>
      <c r="Q91" s="776"/>
      <c r="R91" s="776"/>
      <c r="S91" s="776"/>
      <c r="T91" s="776"/>
      <c r="U91" s="776"/>
      <c r="V91" s="776"/>
      <c r="W91" s="776"/>
      <c r="X91" s="776"/>
      <c r="Y91" s="776"/>
      <c r="Z91" s="776"/>
      <c r="AA91" s="776"/>
      <c r="AB91" s="776"/>
      <c r="AC91" s="776"/>
      <c r="AD91" s="776"/>
      <c r="AE91" s="776"/>
      <c r="AF91" s="776"/>
      <c r="AG91" s="776"/>
      <c r="AH91" s="776"/>
      <c r="AI91" s="776"/>
      <c r="AJ91" s="776"/>
      <c r="AK91" s="776"/>
      <c r="AL91" s="776"/>
      <c r="AM91" s="776"/>
      <c r="AN91" s="776"/>
      <c r="AO91" s="776"/>
      <c r="AP91" s="776"/>
      <c r="AQ91" s="776"/>
    </row>
    <row r="92" spans="1:43" s="780" customFormat="1" ht="15" customHeight="1" x14ac:dyDescent="0.2">
      <c r="A92" s="742" t="s">
        <v>272</v>
      </c>
      <c r="B92" s="732">
        <f>[2]Database!$G$248</f>
        <v>253.21</v>
      </c>
      <c r="C92" s="732">
        <f>[2]Database!$K248</f>
        <v>88.69</v>
      </c>
      <c r="D92" s="734">
        <f>SUM([2]Database!$L$246:$L$248)*1000</f>
        <v>12561.447999999999</v>
      </c>
      <c r="E92" s="734">
        <f>SUM([6]Database!$C$138:$C$140)</f>
        <v>3857.1605999999997</v>
      </c>
      <c r="F92" s="734">
        <f>SUM([5]Database!$D$113:$D$115)</f>
        <v>180.03008</v>
      </c>
      <c r="G92" s="734">
        <f>SUM([3]Database!$C$233:$C$235)</f>
        <v>2510</v>
      </c>
      <c r="H92" s="730">
        <f>SUM([4]Database!$C$304:$C$306)</f>
        <v>619</v>
      </c>
      <c r="I92" s="776"/>
      <c r="J92" s="782"/>
      <c r="K92" s="776"/>
      <c r="L92" s="776"/>
      <c r="M92" s="776"/>
      <c r="N92" s="776"/>
      <c r="O92" s="776"/>
      <c r="P92" s="776"/>
      <c r="Q92" s="776"/>
      <c r="R92" s="776"/>
      <c r="S92" s="776"/>
      <c r="T92" s="776"/>
      <c r="U92" s="776"/>
      <c r="V92" s="776"/>
      <c r="W92" s="776"/>
      <c r="X92" s="776"/>
      <c r="Y92" s="776"/>
      <c r="Z92" s="776"/>
      <c r="AA92" s="776"/>
      <c r="AB92" s="776"/>
      <c r="AC92" s="776"/>
      <c r="AD92" s="776"/>
      <c r="AE92" s="776"/>
      <c r="AF92" s="776"/>
      <c r="AG92" s="776"/>
      <c r="AH92" s="776"/>
      <c r="AI92" s="776"/>
      <c r="AJ92" s="776"/>
      <c r="AK92" s="776"/>
      <c r="AL92" s="776"/>
      <c r="AM92" s="776"/>
      <c r="AN92" s="776"/>
      <c r="AO92" s="776"/>
      <c r="AP92" s="776"/>
      <c r="AQ92" s="776"/>
    </row>
    <row r="93" spans="1:43" s="780" customFormat="1" ht="15" customHeight="1" x14ac:dyDescent="0.2">
      <c r="A93" s="742" t="s">
        <v>273</v>
      </c>
      <c r="B93" s="732">
        <f>[2]Database!$G$251</f>
        <v>225.2</v>
      </c>
      <c r="C93" s="732">
        <f>[2]Database!$K$251</f>
        <v>75</v>
      </c>
      <c r="D93" s="734">
        <f>SUM([2]Database!$L$249:$L$251)*1000</f>
        <v>13229.682999999999</v>
      </c>
      <c r="E93" s="734">
        <f>SUM([6]Database!$C$141:$C$143)</f>
        <v>1192.1109899999999</v>
      </c>
      <c r="F93" s="734">
        <f>SUM([5]Database!$D$116:$D$118)</f>
        <v>251.49599999999998</v>
      </c>
      <c r="G93" s="734">
        <f>SUM([3]Database!$C$236:$C$238)</f>
        <v>1568</v>
      </c>
      <c r="H93" s="730">
        <f>SUM([4]Database!$C$307:$C$309)</f>
        <v>492</v>
      </c>
      <c r="I93" s="776"/>
      <c r="J93" s="782"/>
      <c r="K93" s="776"/>
      <c r="L93" s="776"/>
      <c r="M93" s="776"/>
      <c r="N93" s="776"/>
      <c r="O93" s="776"/>
      <c r="P93" s="776"/>
      <c r="Q93" s="776"/>
      <c r="R93" s="776"/>
      <c r="S93" s="776"/>
      <c r="T93" s="776"/>
      <c r="U93" s="776"/>
      <c r="V93" s="776"/>
      <c r="W93" s="776"/>
      <c r="X93" s="776"/>
      <c r="Y93" s="776"/>
      <c r="Z93" s="776"/>
      <c r="AA93" s="776"/>
      <c r="AB93" s="776"/>
      <c r="AC93" s="776"/>
      <c r="AD93" s="776"/>
      <c r="AE93" s="776"/>
      <c r="AF93" s="776"/>
      <c r="AG93" s="776"/>
      <c r="AH93" s="776"/>
      <c r="AI93" s="776"/>
      <c r="AJ93" s="776"/>
      <c r="AK93" s="776"/>
      <c r="AL93" s="776"/>
      <c r="AM93" s="776"/>
      <c r="AN93" s="776"/>
      <c r="AO93" s="776"/>
      <c r="AP93" s="776"/>
      <c r="AQ93" s="776"/>
    </row>
    <row r="94" spans="1:43" s="780" customFormat="1" ht="15" customHeight="1" x14ac:dyDescent="0.2">
      <c r="A94" s="742" t="s">
        <v>274</v>
      </c>
      <c r="B94" s="732">
        <f>[2]Database!$G$254</f>
        <v>250.08</v>
      </c>
      <c r="C94" s="732">
        <f>[2]Database!$K$254</f>
        <v>80.150000000000006</v>
      </c>
      <c r="D94" s="734">
        <f>SUM([2]Database!$L$252:$L$254)*1000</f>
        <v>12069.701999999999</v>
      </c>
      <c r="E94" s="734">
        <f>SUM([6]Database!$C$144:$C$146)</f>
        <v>1175.1412099999998</v>
      </c>
      <c r="F94" s="734">
        <f>SUM([5]Database!$D$119:$D$121)</f>
        <v>232.417</v>
      </c>
      <c r="G94" s="734">
        <f>SUM([3]Database!$C$239:$C$241)</f>
        <v>2516</v>
      </c>
      <c r="H94" s="730">
        <f>SUM([4]Database!$C$310:$C$312)</f>
        <v>656</v>
      </c>
      <c r="I94" s="776"/>
      <c r="J94" s="782"/>
      <c r="K94" s="776"/>
      <c r="L94" s="776"/>
      <c r="M94" s="776"/>
      <c r="N94" s="776"/>
      <c r="O94" s="776"/>
      <c r="P94" s="776"/>
      <c r="Q94" s="776"/>
      <c r="R94" s="776"/>
      <c r="S94" s="776"/>
      <c r="T94" s="776"/>
      <c r="U94" s="776"/>
      <c r="V94" s="776"/>
      <c r="W94" s="776"/>
      <c r="X94" s="776"/>
      <c r="Y94" s="776"/>
      <c r="Z94" s="776"/>
      <c r="AA94" s="776"/>
      <c r="AB94" s="776"/>
      <c r="AC94" s="776"/>
      <c r="AD94" s="776"/>
      <c r="AE94" s="776"/>
      <c r="AF94" s="776"/>
      <c r="AG94" s="776"/>
      <c r="AH94" s="776"/>
      <c r="AI94" s="776"/>
      <c r="AJ94" s="776"/>
      <c r="AK94" s="776"/>
      <c r="AL94" s="776"/>
      <c r="AM94" s="776"/>
      <c r="AN94" s="776"/>
      <c r="AO94" s="776"/>
      <c r="AP94" s="776"/>
      <c r="AQ94" s="776"/>
    </row>
    <row r="95" spans="1:43" s="780" customFormat="1" ht="15" customHeight="1" x14ac:dyDescent="0.2">
      <c r="A95" s="742" t="s">
        <v>275</v>
      </c>
      <c r="B95" s="732">
        <f>[2]Database!$G$257</f>
        <v>237.79</v>
      </c>
      <c r="C95" s="732">
        <f>[2]Database!$K$257</f>
        <v>81.36</v>
      </c>
      <c r="D95" s="734">
        <f>SUM([2]Database!$L$255:$L$257)*1000</f>
        <v>12150.293000000001</v>
      </c>
      <c r="E95" s="734">
        <f>SUM([6]Database!$C$147:$C$149)</f>
        <v>1249.2323200000001</v>
      </c>
      <c r="F95" s="734">
        <f>SUM([5]Database!$D$122:$D$124)</f>
        <v>483.23700000000002</v>
      </c>
      <c r="G95" s="734">
        <f>SUM([3]Database!$C$242:$C$244)</f>
        <v>2029</v>
      </c>
      <c r="H95" s="730">
        <f>SUM([4]Database!$C$313:$C$315)</f>
        <v>648</v>
      </c>
      <c r="I95" s="776"/>
      <c r="J95" s="782"/>
      <c r="K95" s="776"/>
      <c r="L95" s="776"/>
      <c r="M95" s="776"/>
      <c r="N95" s="776"/>
      <c r="O95" s="776"/>
      <c r="P95" s="776"/>
      <c r="Q95" s="776"/>
      <c r="R95" s="776"/>
      <c r="S95" s="776"/>
      <c r="T95" s="776"/>
      <c r="U95" s="776"/>
      <c r="V95" s="776"/>
      <c r="W95" s="776"/>
      <c r="X95" s="776"/>
      <c r="Y95" s="776"/>
      <c r="Z95" s="776"/>
      <c r="AA95" s="776"/>
      <c r="AB95" s="776"/>
      <c r="AC95" s="776"/>
      <c r="AD95" s="776"/>
      <c r="AE95" s="776"/>
      <c r="AF95" s="776"/>
      <c r="AG95" s="776"/>
      <c r="AH95" s="776"/>
      <c r="AI95" s="776"/>
      <c r="AJ95" s="776"/>
      <c r="AK95" s="776"/>
      <c r="AL95" s="776"/>
      <c r="AM95" s="776"/>
      <c r="AN95" s="776"/>
      <c r="AO95" s="776"/>
      <c r="AP95" s="776"/>
      <c r="AQ95" s="776"/>
    </row>
    <row r="96" spans="1:43" s="780" customFormat="1" ht="15" customHeight="1" x14ac:dyDescent="0.2">
      <c r="A96" s="742" t="s">
        <v>276</v>
      </c>
      <c r="B96" s="732">
        <f>[2]Database!$G$260</f>
        <v>222.46</v>
      </c>
      <c r="C96" s="732">
        <f>[2]Database!$K$260</f>
        <v>78.680000000000007</v>
      </c>
      <c r="D96" s="734">
        <f>SUM([2]Database!$L$258:$L$260)*1000</f>
        <v>13279.958000000001</v>
      </c>
      <c r="E96" s="734">
        <f>SUM([6]Database!$C$150:$C$152)</f>
        <v>4819.7647799999995</v>
      </c>
      <c r="F96" s="734">
        <f>SUM([5]Database!$D$125:$D$127)</f>
        <v>344.52199999999999</v>
      </c>
      <c r="G96" s="734">
        <f>SUM([3]Database!$C$245:$C$247)</f>
        <v>2956</v>
      </c>
      <c r="H96" s="730">
        <f>SUM([4]Database!$C$316:$C$318)</f>
        <v>859</v>
      </c>
      <c r="I96" s="776"/>
      <c r="J96" s="782"/>
      <c r="K96" s="776"/>
      <c r="L96" s="776"/>
      <c r="M96" s="776"/>
      <c r="N96" s="776"/>
      <c r="O96" s="776"/>
      <c r="P96" s="776"/>
      <c r="Q96" s="776"/>
      <c r="R96" s="776"/>
      <c r="S96" s="776"/>
      <c r="T96" s="776"/>
      <c r="U96" s="776"/>
      <c r="V96" s="776"/>
      <c r="W96" s="776"/>
      <c r="X96" s="776"/>
      <c r="Y96" s="776"/>
      <c r="Z96" s="776"/>
      <c r="AA96" s="776"/>
      <c r="AB96" s="776"/>
      <c r="AC96" s="776"/>
      <c r="AD96" s="776"/>
      <c r="AE96" s="776"/>
      <c r="AF96" s="776"/>
      <c r="AG96" s="776"/>
      <c r="AH96" s="776"/>
      <c r="AI96" s="776"/>
      <c r="AJ96" s="776"/>
      <c r="AK96" s="776"/>
      <c r="AL96" s="776"/>
      <c r="AM96" s="776"/>
      <c r="AN96" s="776"/>
      <c r="AO96" s="776"/>
      <c r="AP96" s="776"/>
      <c r="AQ96" s="776"/>
    </row>
    <row r="97" spans="1:43" s="780" customFormat="1" ht="15" customHeight="1" x14ac:dyDescent="0.2">
      <c r="A97" s="742" t="s">
        <v>277</v>
      </c>
      <c r="B97" s="732">
        <f>[2]Database!$G$263</f>
        <v>198.5</v>
      </c>
      <c r="C97" s="732">
        <f>[2]Database!$K$263</f>
        <v>69.989999999999995</v>
      </c>
      <c r="D97" s="734">
        <f>SUM([2]Database!$L$261:$L$263)*1000</f>
        <v>13991.898000000001</v>
      </c>
      <c r="E97" s="734">
        <f>SUM([6]Database!$C$153:$C$155)</f>
        <v>929.91197</v>
      </c>
      <c r="F97" s="734">
        <f>SUM([5]Database!$D$128:$D$130)</f>
        <v>497.952</v>
      </c>
      <c r="G97" s="734">
        <f>SUM([3]Database!$C$248:$C$250)</f>
        <v>2256</v>
      </c>
      <c r="H97" s="730">
        <f>SUM([4]Database!$C$319:$C$321)</f>
        <v>621</v>
      </c>
      <c r="I97" s="776"/>
      <c r="J97" s="782"/>
      <c r="K97" s="776"/>
      <c r="L97" s="776"/>
      <c r="M97" s="776"/>
      <c r="N97" s="776"/>
      <c r="O97" s="776"/>
      <c r="P97" s="776"/>
      <c r="Q97" s="776"/>
      <c r="R97" s="776"/>
      <c r="S97" s="776"/>
      <c r="T97" s="776"/>
      <c r="U97" s="776"/>
      <c r="V97" s="776"/>
      <c r="W97" s="776"/>
      <c r="X97" s="776"/>
      <c r="Y97" s="776"/>
      <c r="Z97" s="776"/>
      <c r="AA97" s="776"/>
      <c r="AB97" s="776"/>
      <c r="AC97" s="776"/>
      <c r="AD97" s="776"/>
      <c r="AE97" s="776"/>
      <c r="AF97" s="776"/>
      <c r="AG97" s="776"/>
      <c r="AH97" s="776"/>
      <c r="AI97" s="776"/>
      <c r="AJ97" s="776"/>
      <c r="AK97" s="776"/>
      <c r="AL97" s="776"/>
      <c r="AM97" s="776"/>
      <c r="AN97" s="776"/>
      <c r="AO97" s="776"/>
      <c r="AP97" s="776"/>
      <c r="AQ97" s="776"/>
    </row>
    <row r="98" spans="1:43" s="780" customFormat="1" ht="15" customHeight="1" x14ac:dyDescent="0.2">
      <c r="A98" s="742" t="s">
        <v>278</v>
      </c>
      <c r="B98" s="732">
        <f>[2]Database!$G$266</f>
        <v>225.12</v>
      </c>
      <c r="C98" s="732">
        <f>[2]Database!$K$266</f>
        <v>69.989999999999995</v>
      </c>
      <c r="D98" s="734">
        <f>SUM([2]Database!$L$264:$L$266)*1000</f>
        <v>13919.785999999998</v>
      </c>
      <c r="E98" s="734">
        <f>SUM([6]Database!$C$156:$C$158)</f>
        <v>1717.88229</v>
      </c>
      <c r="F98" s="734">
        <f>SUM([5]Database!$D$131:$D$133)</f>
        <v>393.02</v>
      </c>
      <c r="G98" s="734">
        <f>SUM([3]Database!$C$251:$C$253)</f>
        <v>2598</v>
      </c>
      <c r="H98" s="730">
        <f>SUM([4]Database!$C$322:$C$324)</f>
        <v>910</v>
      </c>
      <c r="I98" s="776"/>
      <c r="J98" s="782"/>
      <c r="K98" s="776"/>
      <c r="L98" s="776"/>
      <c r="M98" s="776"/>
      <c r="N98" s="776"/>
      <c r="O98" s="776"/>
      <c r="P98" s="776"/>
      <c r="Q98" s="776"/>
      <c r="R98" s="776"/>
      <c r="S98" s="776"/>
      <c r="T98" s="776"/>
      <c r="U98" s="776"/>
      <c r="V98" s="776"/>
      <c r="W98" s="776"/>
      <c r="X98" s="776"/>
      <c r="Y98" s="776"/>
      <c r="Z98" s="776"/>
      <c r="AA98" s="776"/>
      <c r="AB98" s="776"/>
      <c r="AC98" s="776"/>
      <c r="AD98" s="776"/>
      <c r="AE98" s="776"/>
      <c r="AF98" s="776"/>
      <c r="AG98" s="776"/>
      <c r="AH98" s="776"/>
      <c r="AI98" s="776"/>
      <c r="AJ98" s="776"/>
      <c r="AK98" s="776"/>
      <c r="AL98" s="776"/>
      <c r="AM98" s="776"/>
      <c r="AN98" s="776"/>
      <c r="AO98" s="776"/>
      <c r="AP98" s="776"/>
      <c r="AQ98" s="776"/>
    </row>
    <row r="99" spans="1:43" s="780" customFormat="1" ht="15" customHeight="1" x14ac:dyDescent="0.2">
      <c r="A99" s="742" t="s">
        <v>279</v>
      </c>
      <c r="B99" s="732">
        <f>[2]Database!$G$269</f>
        <v>227.36</v>
      </c>
      <c r="C99" s="732">
        <f>[2]Database!$K$269</f>
        <v>72.11</v>
      </c>
      <c r="D99" s="734">
        <f>SUM([2]Database!$L$267:$L$269)*1000</f>
        <v>13856.962</v>
      </c>
      <c r="E99" s="734">
        <f>SUM([6]Database!$C$159:$C$161)</f>
        <v>2394.7536700000001</v>
      </c>
      <c r="F99" s="734">
        <f>SUM([5]Database!$D$134:$D$136)</f>
        <v>769.84900000000005</v>
      </c>
      <c r="G99" s="734">
        <f>SUM([3]Database!$C$254:$C$256)</f>
        <v>2333</v>
      </c>
      <c r="H99" s="730">
        <f>SUM([4]Database!$C$325:$C$327)</f>
        <v>842</v>
      </c>
      <c r="I99" s="776"/>
      <c r="J99" s="782"/>
      <c r="K99" s="776"/>
      <c r="L99" s="776"/>
      <c r="M99" s="776"/>
      <c r="N99" s="776"/>
      <c r="O99" s="776"/>
      <c r="P99" s="776"/>
      <c r="Q99" s="776"/>
      <c r="R99" s="776"/>
      <c r="S99" s="776"/>
      <c r="T99" s="776"/>
      <c r="U99" s="776"/>
      <c r="V99" s="776"/>
      <c r="W99" s="776"/>
      <c r="X99" s="776"/>
      <c r="Y99" s="776"/>
      <c r="Z99" s="776"/>
      <c r="AA99" s="776"/>
      <c r="AB99" s="776"/>
      <c r="AC99" s="776"/>
      <c r="AD99" s="776"/>
      <c r="AE99" s="776"/>
      <c r="AF99" s="776"/>
      <c r="AG99" s="776"/>
      <c r="AH99" s="776"/>
      <c r="AI99" s="776"/>
      <c r="AJ99" s="776"/>
      <c r="AK99" s="776"/>
      <c r="AL99" s="776"/>
      <c r="AM99" s="776"/>
      <c r="AN99" s="776"/>
      <c r="AO99" s="776"/>
      <c r="AP99" s="776"/>
      <c r="AQ99" s="776"/>
    </row>
    <row r="100" spans="1:43" s="780" customFormat="1" ht="15" customHeight="1" x14ac:dyDescent="0.2">
      <c r="A100" s="742" t="s">
        <v>280</v>
      </c>
      <c r="B100" s="732">
        <f>[2]Database!$G$272</f>
        <v>236.72</v>
      </c>
      <c r="C100" s="732">
        <f>[2]Database!$K$272</f>
        <v>73.989999999999995</v>
      </c>
      <c r="D100" s="734">
        <f>SUM([2]Database!$L$270:$L$272)*1000</f>
        <v>14925.559000000001</v>
      </c>
      <c r="E100" s="734">
        <f>SUM([6]Database!$C$162:$C$164)</f>
        <v>5900.2408400000004</v>
      </c>
      <c r="F100" s="734">
        <f>SUM([5]Database!$D$137:$D$139)</f>
        <v>460.24300000000005</v>
      </c>
      <c r="G100" s="734">
        <f>SUM([3]Database!$C$257:$C$259)</f>
        <v>3155</v>
      </c>
      <c r="H100" s="730">
        <f>SUM([4]Database!$C$328:$C$330)</f>
        <v>1090</v>
      </c>
      <c r="I100" s="776"/>
      <c r="J100" s="782"/>
      <c r="K100" s="776"/>
      <c r="L100" s="776"/>
      <c r="M100" s="776"/>
      <c r="N100" s="776"/>
      <c r="O100" s="776"/>
      <c r="P100" s="776"/>
      <c r="Q100" s="776"/>
      <c r="R100" s="776"/>
      <c r="S100" s="776"/>
      <c r="T100" s="776"/>
      <c r="U100" s="776"/>
      <c r="V100" s="776"/>
      <c r="W100" s="776"/>
      <c r="X100" s="776"/>
      <c r="Y100" s="776"/>
      <c r="Z100" s="776"/>
      <c r="AA100" s="776"/>
      <c r="AB100" s="776"/>
      <c r="AC100" s="776"/>
      <c r="AD100" s="776"/>
      <c r="AE100" s="776"/>
      <c r="AF100" s="776"/>
      <c r="AG100" s="776"/>
      <c r="AH100" s="776"/>
      <c r="AI100" s="776"/>
      <c r="AJ100" s="776"/>
      <c r="AK100" s="776"/>
      <c r="AL100" s="776"/>
      <c r="AM100" s="776"/>
      <c r="AN100" s="776"/>
      <c r="AO100" s="776"/>
      <c r="AP100" s="776"/>
      <c r="AQ100" s="776"/>
    </row>
    <row r="101" spans="1:43" s="780" customFormat="1" ht="15" customHeight="1" x14ac:dyDescent="0.2">
      <c r="A101" s="742" t="s">
        <v>281</v>
      </c>
      <c r="B101" s="732">
        <f>[2]Database!$G$275</f>
        <v>256.25</v>
      </c>
      <c r="C101" s="732">
        <f>[2]Database!$K$275</f>
        <v>83.02000000000001</v>
      </c>
      <c r="D101" s="734">
        <f>SUM([2]Database!$L$273:$L$275)*1000</f>
        <v>15505.581</v>
      </c>
      <c r="E101" s="734">
        <f>SUM([6]Database!$C$165:$C$167)</f>
        <v>1208.4961699999999</v>
      </c>
      <c r="F101" s="734">
        <f>SUM([5]Database!$D$140:$D$142)</f>
        <v>644.80600000000004</v>
      </c>
      <c r="G101" s="734">
        <f>SUM([3]Database!$C$260:$C$262)</f>
        <v>2406</v>
      </c>
      <c r="H101" s="730">
        <f>SUM([4]Database!$C$331:$C$333)</f>
        <v>827</v>
      </c>
      <c r="I101" s="776"/>
      <c r="J101" s="782"/>
      <c r="K101" s="776"/>
      <c r="L101" s="776"/>
      <c r="M101" s="776"/>
      <c r="N101" s="776"/>
      <c r="O101" s="776"/>
      <c r="P101" s="776"/>
      <c r="Q101" s="776"/>
      <c r="R101" s="776"/>
      <c r="S101" s="776"/>
      <c r="T101" s="776"/>
      <c r="U101" s="776"/>
      <c r="V101" s="776"/>
      <c r="W101" s="776"/>
      <c r="X101" s="776"/>
      <c r="Y101" s="776"/>
      <c r="Z101" s="776"/>
      <c r="AA101" s="776"/>
      <c r="AB101" s="776"/>
      <c r="AC101" s="776"/>
      <c r="AD101" s="776"/>
      <c r="AE101" s="776"/>
      <c r="AF101" s="776"/>
      <c r="AG101" s="776"/>
      <c r="AH101" s="776"/>
      <c r="AI101" s="776"/>
      <c r="AJ101" s="776"/>
      <c r="AK101" s="776"/>
      <c r="AL101" s="776"/>
      <c r="AM101" s="776"/>
      <c r="AN101" s="776"/>
      <c r="AO101" s="776"/>
      <c r="AP101" s="776"/>
      <c r="AQ101" s="776"/>
    </row>
    <row r="102" spans="1:43" s="780" customFormat="1" ht="15" customHeight="1" x14ac:dyDescent="0.2">
      <c r="A102" s="742" t="s">
        <v>207</v>
      </c>
      <c r="B102" s="732">
        <f>[2]Database!$G$278</f>
        <v>249.53</v>
      </c>
      <c r="C102" s="732">
        <f>[2]Database!$K$278</f>
        <v>85.86</v>
      </c>
      <c r="D102" s="734">
        <f>SUM([2]Database!$L$276:$L$278)*1000</f>
        <v>14991.573000000002</v>
      </c>
      <c r="E102" s="734">
        <f>SUM([6]Database!$C$168:$C$170)</f>
        <v>2089.2174700000005</v>
      </c>
      <c r="F102" s="734">
        <f>SUM([5]Database!$D$143:$D$145)</f>
        <v>735.76499999999999</v>
      </c>
      <c r="G102" s="734">
        <f>SUM([3]Database!$C$263:$C$265)</f>
        <v>2932</v>
      </c>
      <c r="H102" s="730">
        <f>SUM([4]Database!$C$334:$C$336)</f>
        <v>951</v>
      </c>
      <c r="I102" s="776"/>
      <c r="J102" s="782"/>
      <c r="K102" s="776"/>
      <c r="L102" s="776"/>
      <c r="M102" s="776"/>
      <c r="N102" s="776"/>
      <c r="O102" s="776"/>
      <c r="P102" s="776"/>
      <c r="Q102" s="776"/>
      <c r="R102" s="776"/>
      <c r="S102" s="776"/>
      <c r="T102" s="776"/>
      <c r="U102" s="776"/>
      <c r="V102" s="776"/>
      <c r="W102" s="776"/>
      <c r="X102" s="776"/>
      <c r="Y102" s="776"/>
      <c r="Z102" s="776"/>
      <c r="AA102" s="776"/>
      <c r="AB102" s="776"/>
      <c r="AC102" s="776"/>
      <c r="AD102" s="776"/>
      <c r="AE102" s="776"/>
      <c r="AF102" s="776"/>
      <c r="AG102" s="776"/>
      <c r="AH102" s="776"/>
      <c r="AI102" s="776"/>
      <c r="AJ102" s="776"/>
      <c r="AK102" s="776"/>
      <c r="AL102" s="776"/>
      <c r="AM102" s="776"/>
      <c r="AN102" s="776"/>
      <c r="AO102" s="776"/>
      <c r="AP102" s="776"/>
      <c r="AQ102" s="776"/>
    </row>
    <row r="103" spans="1:43" s="780" customFormat="1" ht="15" customHeight="1" x14ac:dyDescent="0.2">
      <c r="A103" s="742" t="s">
        <v>197</v>
      </c>
      <c r="B103" s="732">
        <f>[2]Database!$G$281</f>
        <v>246.87</v>
      </c>
      <c r="C103" s="732">
        <f>[2]Database!$K$281</f>
        <v>81.2</v>
      </c>
      <c r="D103" s="734">
        <f>SUM([2]Database!$L$279:$L$281)*1000</f>
        <v>13271.183000000001</v>
      </c>
      <c r="E103" s="734">
        <f>SUM([6]Database!$C$171:$C$173)</f>
        <v>2685.4464400000006</v>
      </c>
      <c r="F103" s="734">
        <f>SUM([5]Database!$D$146:$D$148)</f>
        <v>664.37100000000009</v>
      </c>
      <c r="G103" s="734">
        <f>SUM([3]Database!$C$266:$C$268)</f>
        <v>3094</v>
      </c>
      <c r="H103" s="730">
        <f>SUM([4]Database!$C$337:$C$339)</f>
        <v>964</v>
      </c>
      <c r="I103" s="776"/>
      <c r="J103" s="782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6"/>
      <c r="AL103" s="776"/>
      <c r="AM103" s="776"/>
      <c r="AN103" s="776"/>
      <c r="AO103" s="776"/>
      <c r="AP103" s="776"/>
      <c r="AQ103" s="776"/>
    </row>
    <row r="104" spans="1:43" s="776" customFormat="1" ht="15" customHeight="1" x14ac:dyDescent="0.2">
      <c r="A104" s="742" t="s">
        <v>198</v>
      </c>
      <c r="B104" s="732">
        <f>[2]Database!$G$284</f>
        <v>267.86</v>
      </c>
      <c r="C104" s="732">
        <f>[2]Database!$K$284</f>
        <v>81.2</v>
      </c>
      <c r="D104" s="734">
        <f>SUM([2]Database!$L$282:$L$284)*1000</f>
        <v>15626.774000000001</v>
      </c>
      <c r="E104" s="734">
        <f>SUM([6]Database!$C$174:$C$176)</f>
        <v>7124.613339999999</v>
      </c>
      <c r="F104" s="734">
        <f>SUM([5]Database!$D$149:$D$151)</f>
        <v>295.23399999999998</v>
      </c>
      <c r="G104" s="734">
        <f>SUM([3]Database!$C$269:$C$271)</f>
        <v>3284</v>
      </c>
      <c r="H104" s="730">
        <f>SUM([4]Database!$C$340:$C$342)</f>
        <v>1019</v>
      </c>
      <c r="J104" s="782"/>
    </row>
    <row r="105" spans="1:43" s="776" customFormat="1" ht="15" customHeight="1" x14ac:dyDescent="0.2">
      <c r="A105" s="742" t="s">
        <v>208</v>
      </c>
      <c r="B105" s="732">
        <f>[2]Database!$G$287</f>
        <v>267.39999999999998</v>
      </c>
      <c r="C105" s="732">
        <f>[2]Database!$K$286</f>
        <v>81.2</v>
      </c>
      <c r="D105" s="734">
        <f>SUM([2]Database!$L$285:$L$287)*1000</f>
        <v>14547.734999999999</v>
      </c>
      <c r="E105" s="734">
        <f>SUM([6]Database!$C$177:$C$179)</f>
        <v>1608.28313</v>
      </c>
      <c r="F105" s="734">
        <f>SUM([5]Database!$D$152:$D$154)</f>
        <v>137.76599999999999</v>
      </c>
      <c r="G105" s="734">
        <f>SUM([3]Database!$C$272:$C$274)</f>
        <v>2294</v>
      </c>
      <c r="H105" s="730">
        <f>SUM([4]Database!$C$343:$C$345)</f>
        <v>778</v>
      </c>
      <c r="J105" s="782"/>
    </row>
    <row r="106" spans="1:43" s="776" customFormat="1" ht="15" customHeight="1" x14ac:dyDescent="0.2">
      <c r="A106" s="742" t="s">
        <v>209</v>
      </c>
      <c r="B106" s="732">
        <f>[2]Database!$G$290</f>
        <v>290.43</v>
      </c>
      <c r="C106" s="732">
        <f>[2]Database!$K$290</f>
        <v>81.2</v>
      </c>
      <c r="D106" s="734">
        <f>SUM([2]Database!$L$288:$L$290)*1000</f>
        <v>14434.830999999998</v>
      </c>
      <c r="E106" s="734">
        <f>SUM([6]Database!$C$180:$C$182)</f>
        <v>1728.4337700000001</v>
      </c>
      <c r="F106" s="734">
        <f>SUM([5]Database!$D$155:$D$157)</f>
        <v>99.057999999999979</v>
      </c>
      <c r="G106" s="734">
        <f>SUM([3]Database!$C$275:$C$277)</f>
        <v>3011</v>
      </c>
      <c r="H106" s="730">
        <f>SUM([4]Database!$C$346:$C$348)</f>
        <v>938</v>
      </c>
      <c r="J106" s="782"/>
    </row>
    <row r="107" spans="1:43" s="776" customFormat="1" ht="15" customHeight="1" x14ac:dyDescent="0.2">
      <c r="A107" s="742" t="s">
        <v>210</v>
      </c>
      <c r="B107" s="732">
        <f>[2]Database!$G$293</f>
        <v>284.82</v>
      </c>
      <c r="C107" s="732">
        <f>[2]Database!$K$293</f>
        <v>81.2</v>
      </c>
      <c r="D107" s="734">
        <f>SUM([2]Database!$L$291:$L$293)*1000</f>
        <v>14184.894</v>
      </c>
      <c r="E107" s="734">
        <f>SUM([6]Database!$C$183:$C$185)</f>
        <v>2100.39383</v>
      </c>
      <c r="F107" s="734">
        <f>SUM([5]Database!$D$158:$D$160)</f>
        <v>347.32500000000005</v>
      </c>
      <c r="G107" s="734">
        <f>SUM([3]Database!$C$278:$C$280)</f>
        <v>3573</v>
      </c>
      <c r="H107" s="730">
        <f>SUM([4]Database!$C$349:$C$351)</f>
        <v>970</v>
      </c>
      <c r="J107" s="782"/>
    </row>
    <row r="108" spans="1:43" s="776" customFormat="1" ht="15" customHeight="1" x14ac:dyDescent="0.2">
      <c r="A108" s="742" t="s">
        <v>211</v>
      </c>
      <c r="B108" s="732">
        <f>[2]Database!$G$296</f>
        <v>257.26</v>
      </c>
      <c r="C108" s="732">
        <f>[2]Database!$K$296</f>
        <v>81.2</v>
      </c>
      <c r="D108" s="734">
        <f>SUM([2]Database!$L$294:$L$296)*1000</f>
        <v>16497.721999999998</v>
      </c>
      <c r="E108" s="734">
        <f>SUM([6]Database!$C$186:$C$188)</f>
        <v>4236.2784199999996</v>
      </c>
      <c r="F108" s="734">
        <f>SUM([5]Database!$D$161:$D$163)</f>
        <v>222.10300000000001</v>
      </c>
      <c r="G108" s="734">
        <f>SUM([3]Database!$C$281:$C$283)</f>
        <v>3736</v>
      </c>
      <c r="H108" s="730">
        <f>SUM([4]Database!$C$352:$C$354)</f>
        <v>964</v>
      </c>
      <c r="J108" s="782"/>
    </row>
    <row r="109" spans="1:43" s="776" customFormat="1" ht="15" customHeight="1" x14ac:dyDescent="0.2">
      <c r="A109" s="742" t="s">
        <v>199</v>
      </c>
      <c r="B109" s="732">
        <f>[2]Database!$G$299</f>
        <v>257.06</v>
      </c>
      <c r="C109" s="732">
        <f>[2]Database!$K$299</f>
        <v>79.900000000000006</v>
      </c>
      <c r="D109" s="734">
        <f>SUM([2]Database!$L$297:$L$299)*1000</f>
        <v>16534.499</v>
      </c>
      <c r="E109" s="734">
        <f>SUM([6]Database!$C$189:$C$191)</f>
        <v>898.97625999999991</v>
      </c>
      <c r="F109" s="734">
        <f>SUM([5]Database!$D$164:$D$166)</f>
        <v>588.16100000000006</v>
      </c>
      <c r="G109" s="734">
        <f>SUM([3]Database!$C$284:$C$286)</f>
        <v>2943</v>
      </c>
      <c r="H109" s="730">
        <f>SUM([4]Database!$C$355:$C$357)</f>
        <v>779</v>
      </c>
      <c r="J109" s="782"/>
    </row>
    <row r="110" spans="1:43" s="776" customFormat="1" ht="15" customHeight="1" x14ac:dyDescent="0.2">
      <c r="A110" s="742" t="s">
        <v>200</v>
      </c>
      <c r="B110" s="732">
        <f>[2]Database!$G$302</f>
        <v>275.89</v>
      </c>
      <c r="C110" s="732">
        <f>[2]Database!$K$302</f>
        <v>79.900000000000006</v>
      </c>
      <c r="D110" s="734">
        <f>SUM([2]Database!$L$300:$L$302)*1000</f>
        <v>15574.828</v>
      </c>
      <c r="E110" s="734">
        <f>SUM([6]Database!$C$192:$C$194)</f>
        <v>1876.82143</v>
      </c>
      <c r="F110" s="734">
        <f>SUM([5]Database!$D$167:$D$169)</f>
        <v>600.64099999999996</v>
      </c>
      <c r="G110" s="734">
        <f>SUM([3]Database!$C$287:$C$289)</f>
        <v>3404</v>
      </c>
      <c r="H110" s="730">
        <f>SUM([4]Database!$C$358:$C$360)</f>
        <v>877</v>
      </c>
      <c r="J110" s="782"/>
    </row>
    <row r="111" spans="1:43" s="776" customFormat="1" ht="15" customHeight="1" x14ac:dyDescent="0.2">
      <c r="A111" s="742" t="s">
        <v>201</v>
      </c>
      <c r="B111" s="732">
        <f>[2]Database!$G$305</f>
        <v>270.74</v>
      </c>
      <c r="C111" s="732">
        <f>[2]Database!$K$305</f>
        <v>79.900000000000006</v>
      </c>
      <c r="D111" s="734">
        <f>SUM([2]Database!$L$303:$L$305)*1000</f>
        <v>15191.475999999999</v>
      </c>
      <c r="E111" s="734">
        <f>SUM([6]Database!$C$195:$C$197)</f>
        <v>2175.1437099999998</v>
      </c>
      <c r="F111" s="734">
        <f>SUM([5]Database!$D$170:$D$172)</f>
        <v>722.34500000000003</v>
      </c>
      <c r="G111" s="734">
        <f>SUM([3]Database!$C$290:$C$292)</f>
        <v>3165</v>
      </c>
      <c r="H111" s="730">
        <f>SUM([4]Database!$C$361:$C$363)</f>
        <v>940</v>
      </c>
      <c r="J111" s="782"/>
    </row>
    <row r="112" spans="1:43" s="776" customFormat="1" ht="15" customHeight="1" x14ac:dyDescent="0.2">
      <c r="A112" s="742" t="s">
        <v>202</v>
      </c>
      <c r="B112" s="732">
        <f>[2]Database!$G$308</f>
        <v>283.18</v>
      </c>
      <c r="C112" s="732">
        <f>[2]Database!$K$308</f>
        <v>79.900000000000006</v>
      </c>
      <c r="D112" s="734">
        <f>SUM([2]Database!$L$306:$L$308)*1000</f>
        <v>17015.735000000001</v>
      </c>
      <c r="E112" s="734">
        <f>SUM([6]Database!$C$198:$C$200)</f>
        <v>7058.3336299999992</v>
      </c>
      <c r="F112" s="734">
        <f>SUM([5]Database!$D$173:$D$175)</f>
        <v>444.47699999999998</v>
      </c>
      <c r="G112" s="734">
        <f>SUM([3]Database!$C$293:$C$295)</f>
        <v>3483</v>
      </c>
      <c r="H112" s="730">
        <f>SUM([4]Database!$C$364:$C$366)</f>
        <v>830</v>
      </c>
      <c r="J112" s="782"/>
    </row>
    <row r="113" spans="1:10" s="776" customFormat="1" ht="15" customHeight="1" x14ac:dyDescent="0.2">
      <c r="A113" s="742" t="s">
        <v>203</v>
      </c>
      <c r="B113" s="732">
        <f>[2]Database!$G$311</f>
        <v>261.57</v>
      </c>
      <c r="C113" s="732">
        <f>[2]Database!$K$311</f>
        <v>79.900000000000006</v>
      </c>
      <c r="D113" s="734">
        <f>SUM([2]Database!$L$309:$L$311)*1000</f>
        <v>17385.772000000001</v>
      </c>
      <c r="E113" s="734">
        <f>SUM([6]Database!$C$201:$C$203)</f>
        <v>1680.10835</v>
      </c>
      <c r="F113" s="734">
        <f>SUM([5]Database!$D$176:$D$178)</f>
        <v>456.55899999999997</v>
      </c>
      <c r="G113" s="734">
        <f>SUM([3]Database!$C$296:$C$298)</f>
        <v>2099</v>
      </c>
      <c r="H113" s="730">
        <f>SUM([4]Database!$C$367:$C$369)</f>
        <v>680</v>
      </c>
      <c r="I113" s="784"/>
      <c r="J113" s="782"/>
    </row>
    <row r="114" spans="1:10" s="776" customFormat="1" ht="15" customHeight="1" x14ac:dyDescent="0.2">
      <c r="A114" s="742" t="s">
        <v>204</v>
      </c>
      <c r="B114" s="732">
        <f>[2]Database!$G$314</f>
        <v>196.58</v>
      </c>
      <c r="C114" s="732">
        <f>[2]Database!$K$314</f>
        <v>73</v>
      </c>
      <c r="D114" s="734">
        <f>SUM([2]Database!$L$312:$L$314)*1000</f>
        <v>15588.934000000001</v>
      </c>
      <c r="E114" s="734">
        <f>SUM([6]Database!$C$204:$C$206)</f>
        <v>2304.6539000000002</v>
      </c>
      <c r="F114" s="734">
        <f>SUM([5]Database!$D$179:$D$181)</f>
        <v>286.91199999999998</v>
      </c>
      <c r="G114" s="734">
        <f>SUM([3]Database!$C$299:$C$301)</f>
        <v>2428</v>
      </c>
      <c r="H114" s="730">
        <f>SUM([4]Database!$C$370:$C$372)</f>
        <v>567</v>
      </c>
      <c r="J114" s="782"/>
    </row>
    <row r="115" spans="1:10" s="776" customFormat="1" ht="15" customHeight="1" x14ac:dyDescent="0.2">
      <c r="A115" s="742" t="s">
        <v>205</v>
      </c>
      <c r="B115" s="732">
        <f>[2]Database!$G$317</f>
        <v>243.6</v>
      </c>
      <c r="C115" s="732">
        <f>[2]Database!$K$317</f>
        <v>61.02</v>
      </c>
      <c r="D115" s="734">
        <f>SUM([2]Database!$L$315:$L$317)*1000</f>
        <v>15572.919</v>
      </c>
      <c r="E115" s="734">
        <f>SUM([6]Database!$C$207:$C$209)</f>
        <v>2882.32006</v>
      </c>
      <c r="F115" s="734">
        <f>SUM([5]Database!$D$182:$D$184)</f>
        <v>420.53975000000003</v>
      </c>
      <c r="G115" s="734">
        <f>SUM([3]Database!$C$302:$C$304)</f>
        <v>2875</v>
      </c>
      <c r="H115" s="730">
        <f>SUM([4]Database!$C$373:$C$375)</f>
        <v>956</v>
      </c>
      <c r="J115" s="782"/>
    </row>
    <row r="116" spans="1:10" s="776" customFormat="1" ht="15" customHeight="1" x14ac:dyDescent="0.2">
      <c r="A116" s="742" t="s">
        <v>206</v>
      </c>
      <c r="B116" s="732">
        <f>[2]Database!$G$320</f>
        <v>242.28</v>
      </c>
      <c r="C116" s="732">
        <f>[2]Database!$K$320</f>
        <v>63.82</v>
      </c>
      <c r="D116" s="734">
        <f>SUM([2]Database!$L$318:$L$320)*1000</f>
        <v>17027.34</v>
      </c>
      <c r="E116" s="734">
        <f>SUM([6]Database!$C$210:$C$212)</f>
        <v>3190.0159600000002</v>
      </c>
      <c r="F116" s="734">
        <f>SUM([5]Database!$D$185:$D$187)</f>
        <v>142.39400000000001</v>
      </c>
      <c r="G116" s="734">
        <f>SUM([3]Database!$C$305:$C$307)</f>
        <v>3430</v>
      </c>
      <c r="H116" s="730">
        <f>SUM([4]Database!$C$376:$C$378)</f>
        <v>790</v>
      </c>
      <c r="J116" s="782"/>
    </row>
    <row r="117" spans="1:10" s="776" customFormat="1" ht="15" customHeight="1" x14ac:dyDescent="0.2">
      <c r="A117" s="742" t="s">
        <v>212</v>
      </c>
      <c r="B117" s="732">
        <f>[2]Database!$G$323</f>
        <v>279.52</v>
      </c>
      <c r="C117" s="732">
        <f>[2]Database!$K$323</f>
        <v>68.930000000000007</v>
      </c>
      <c r="D117" s="734">
        <f>SUM([2]Database!$L$321:$L$323)*1000</f>
        <v>18249.173999999999</v>
      </c>
      <c r="E117" s="734">
        <f>SUM([6]Database!$C$213:$C$215)</f>
        <v>2213.0708800000002</v>
      </c>
      <c r="F117" s="734">
        <f>SUM([5]Database!$D$188:$D$190)</f>
        <v>417.65800000000002</v>
      </c>
      <c r="G117" s="734">
        <f>SUM([3]Database!$C$308:$C$310)</f>
        <v>2603</v>
      </c>
      <c r="H117" s="730">
        <f>SUM([4]Database!$C$379:$C$381)</f>
        <v>645</v>
      </c>
      <c r="I117" s="785"/>
      <c r="J117" s="782"/>
    </row>
    <row r="118" spans="1:10" s="776" customFormat="1" ht="15" customHeight="1" x14ac:dyDescent="0.2">
      <c r="A118" s="742" t="s">
        <v>213</v>
      </c>
      <c r="B118" s="732">
        <f>[2]Database!$G$326</f>
        <v>289.76</v>
      </c>
      <c r="C118" s="732">
        <f>[2]Database!$K$326</f>
        <v>73.040000000000006</v>
      </c>
      <c r="D118" s="734">
        <f>SUM([2]Database!$L$324:$L$326)*1000</f>
        <v>16414.929999999997</v>
      </c>
      <c r="E118" s="734">
        <f>SUM([6]Database!$C$216:$C$218)</f>
        <v>2294.2825600000001</v>
      </c>
      <c r="F118" s="734">
        <f>SUM([5]Database!$D$191:$D$193)</f>
        <v>473.68100000000004</v>
      </c>
      <c r="G118" s="734">
        <f>SUM([3]Database!$C$311:$C$313)</f>
        <v>2990</v>
      </c>
      <c r="H118" s="730">
        <f>SUM([4]Database!$C$382:$C$384)</f>
        <v>805</v>
      </c>
      <c r="J118" s="782"/>
    </row>
    <row r="119" spans="1:10" s="776" customFormat="1" ht="15" customHeight="1" x14ac:dyDescent="0.2">
      <c r="A119" s="742" t="s">
        <v>214</v>
      </c>
      <c r="B119" s="732">
        <f>[2]Database!$G$329</f>
        <v>296.83999999999997</v>
      </c>
      <c r="C119" s="732">
        <f>[2]Database!$K$329</f>
        <v>80.709999999999994</v>
      </c>
      <c r="D119" s="734">
        <f>SUM([2]Database!$L$327:$L$329)*1000</f>
        <v>16846.769</v>
      </c>
      <c r="E119" s="734">
        <f>SUM([6]Database!$C$219:$C$221)</f>
        <v>1985.62444</v>
      </c>
      <c r="F119" s="734">
        <f>SUM([5]Database!$D$194:$D$196)</f>
        <v>439.31899999999996</v>
      </c>
      <c r="G119" s="734">
        <f>SUM([3]Database!$C$314:$C$316)</f>
        <v>1719</v>
      </c>
      <c r="H119" s="730">
        <f>SUM([4]Database!$C$385:$C$387)</f>
        <v>636</v>
      </c>
      <c r="J119" s="782"/>
    </row>
    <row r="120" spans="1:10" s="776" customFormat="1" ht="15" customHeight="1" x14ac:dyDescent="0.2">
      <c r="A120" s="742" t="s">
        <v>215</v>
      </c>
      <c r="B120" s="732">
        <f>[2]Database!$G$332</f>
        <v>320</v>
      </c>
      <c r="C120" s="732">
        <f>[2]Database!$K$332</f>
        <v>84.12</v>
      </c>
      <c r="D120" s="734">
        <f>SUM([2]Database!$L$330:$L$332)*1000</f>
        <v>18182.604000000003</v>
      </c>
      <c r="E120" s="734">
        <f>SUM([6]Database!$C$222:$C$224)</f>
        <v>4727.9898300000004</v>
      </c>
      <c r="F120" s="734">
        <f>SUM([5]Database!$D$197:$D$199)</f>
        <v>294.52299999999997</v>
      </c>
      <c r="G120" s="734">
        <f>SUM([3]Database!$C$317:$C$319)</f>
        <v>3223</v>
      </c>
      <c r="H120" s="730">
        <f>SUM([4]Database!$C$388:$C$390)</f>
        <v>687</v>
      </c>
      <c r="I120" s="785"/>
      <c r="J120" s="782"/>
    </row>
    <row r="121" spans="1:10" s="776" customFormat="1" ht="15" customHeight="1" x14ac:dyDescent="0.2">
      <c r="A121" s="742" t="s">
        <v>216</v>
      </c>
      <c r="B121" s="732">
        <f>[2]Database!$G$335</f>
        <v>351</v>
      </c>
      <c r="C121" s="732">
        <f>[2]Database!$K$335</f>
        <v>91.01</v>
      </c>
      <c r="D121" s="734">
        <f>SUM([2]Database!$L$333:$L$335)*1000</f>
        <v>18334.172999999999</v>
      </c>
      <c r="E121" s="734">
        <f>SUM([6]Database!$C$225:$C$227)</f>
        <v>720.84052999999994</v>
      </c>
      <c r="F121" s="734">
        <f>SUM([5]Database!$D$200:$D$202)</f>
        <v>158.673</v>
      </c>
      <c r="G121" s="734">
        <f>SUM([3]Database!$C$320:$C$322)</f>
        <v>2497</v>
      </c>
      <c r="H121" s="735">
        <f>SUM([4]Database!$C$391:$C$393)</f>
        <v>542</v>
      </c>
      <c r="I121" s="786"/>
      <c r="J121" s="782"/>
    </row>
    <row r="122" spans="1:10" s="776" customFormat="1" ht="15" customHeight="1" x14ac:dyDescent="0.2">
      <c r="A122" s="742" t="s">
        <v>217</v>
      </c>
      <c r="B122" s="732">
        <f>[2]Database!$G$338</f>
        <v>428</v>
      </c>
      <c r="C122" s="732">
        <f>[2]Database!$K$338</f>
        <v>97.91</v>
      </c>
      <c r="D122" s="734">
        <f>SUM([2]Database!$L$336:$L$338)*1000</f>
        <v>16161.811</v>
      </c>
      <c r="E122" s="734">
        <f>SUM([6]Database!$C$228:$C$230)</f>
        <v>1714.9552800000001</v>
      </c>
      <c r="F122" s="734">
        <f>SUM([5]Database!$D$203:$D$205)</f>
        <v>133.48600000000002</v>
      </c>
      <c r="G122" s="734">
        <f>SUM([3]Database!$C$323:$C$325)</f>
        <v>2329</v>
      </c>
      <c r="H122" s="735">
        <f>SUM([4]Database!$C$394:$C$396)</f>
        <v>837</v>
      </c>
      <c r="I122" s="785"/>
      <c r="J122" s="787"/>
    </row>
    <row r="123" spans="1:10" s="776" customFormat="1" ht="15" customHeight="1" x14ac:dyDescent="0.2">
      <c r="A123" s="742" t="s">
        <v>218</v>
      </c>
      <c r="B123" s="732">
        <f>[2]Database!$G$341</f>
        <v>350</v>
      </c>
      <c r="C123" s="732">
        <f>[2]Database!$K$341</f>
        <v>116.72</v>
      </c>
      <c r="D123" s="734">
        <f>SUM([2]Database!$L$339:$L$341)*1000</f>
        <v>16493.290999999997</v>
      </c>
      <c r="E123" s="734">
        <f>SUM([6]Database!$C$231:$C$233)</f>
        <v>1519.7375699999998</v>
      </c>
      <c r="F123" s="734">
        <f>SUM([5]Database!$D$206:$D$208)</f>
        <v>105.34399999999999</v>
      </c>
      <c r="G123" s="734">
        <f>SUM([3]Database!$C$326:$C$328)</f>
        <v>2341</v>
      </c>
      <c r="H123" s="736">
        <f>SUM([4]Database!$C$397:$C$399)</f>
        <v>797</v>
      </c>
      <c r="I123" s="788"/>
      <c r="J123" s="782"/>
    </row>
    <row r="124" spans="1:10" s="776" customFormat="1" ht="15" customHeight="1" x14ac:dyDescent="0.2">
      <c r="A124" s="746" t="s">
        <v>219</v>
      </c>
      <c r="B124" s="732">
        <f>[2]Database!$G$344</f>
        <v>352</v>
      </c>
      <c r="C124" s="732">
        <f>[2]Database!$K$344</f>
        <v>119.86</v>
      </c>
      <c r="D124" s="734">
        <f>SUM([2]Database!$L$342:$L$344)*1000</f>
        <v>19238.085999999999</v>
      </c>
      <c r="E124" s="734">
        <f>SUM([6]Database!$C$234:$C$236)</f>
        <v>3080.4749299999999</v>
      </c>
      <c r="F124" s="734">
        <f>SUM([5]Database!$D$209:$D$211)</f>
        <v>523.25200000000007</v>
      </c>
      <c r="G124" s="734">
        <f>SUM([3]Database!$C$329:$C$331)</f>
        <v>3271</v>
      </c>
      <c r="H124" s="736">
        <f>SUM([4]Database!$C$400:$C$402)</f>
        <v>754</v>
      </c>
      <c r="I124" s="788"/>
      <c r="J124" s="782"/>
    </row>
    <row r="125" spans="1:10" s="776" customFormat="1" ht="15" customHeight="1" x14ac:dyDescent="0.2">
      <c r="A125" s="746" t="s">
        <v>283</v>
      </c>
      <c r="B125" s="732">
        <f>[2]Database!$G$347</f>
        <v>352</v>
      </c>
      <c r="C125" s="732">
        <f>[2]Database!$K$347</f>
        <v>101.73</v>
      </c>
      <c r="D125" s="734">
        <f>SUM([2]Database!$L$345:$L$347)*1000</f>
        <v>18634.374</v>
      </c>
      <c r="E125" s="734">
        <f>SUM([6]Database!$C$237:$C$239)</f>
        <v>1425.89156</v>
      </c>
      <c r="F125" s="734">
        <f>SUM([5]Database!$D$212:$D$214)</f>
        <v>766.43100000000004</v>
      </c>
      <c r="G125" s="734">
        <f>SUM([3]Database!$C$332:$C$334)</f>
        <v>2293</v>
      </c>
      <c r="H125" s="736">
        <f>SUM([4]Database!$C$403:$C$405)</f>
        <v>708</v>
      </c>
      <c r="I125" s="788"/>
      <c r="J125" s="782"/>
    </row>
    <row r="126" spans="1:10" s="776" customFormat="1" ht="15" customHeight="1" x14ac:dyDescent="0.2">
      <c r="A126" s="746" t="s">
        <v>284</v>
      </c>
      <c r="B126" s="732">
        <f>[2]Database!$G$350</f>
        <v>335</v>
      </c>
      <c r="C126" s="732">
        <f>[2]Database!$K$350</f>
        <v>91.86</v>
      </c>
      <c r="D126" s="734">
        <f>SUM([2]Database!$L$348:$L$350)*1000</f>
        <v>18077.54</v>
      </c>
      <c r="E126" s="734">
        <f>SUM([6]Database!$C$240:$C$242)</f>
        <v>2053.6212499999997</v>
      </c>
      <c r="F126" s="734">
        <f>SUM([5]Database!$D$215:$D$217)</f>
        <v>404.03099999999995</v>
      </c>
      <c r="G126" s="734">
        <f>SUM([3]Database!$C$335:$C$337)</f>
        <v>2653</v>
      </c>
      <c r="H126" s="736">
        <f>SUM([4]Database!$C$406:$C$408)</f>
        <v>746</v>
      </c>
      <c r="I126" s="788"/>
      <c r="J126" s="782"/>
    </row>
    <row r="127" spans="1:10" s="776" customFormat="1" ht="15" customHeight="1" x14ac:dyDescent="0.2">
      <c r="A127" s="746" t="s">
        <v>287</v>
      </c>
      <c r="B127" s="732">
        <f>[2]Database!$G$353</f>
        <v>369</v>
      </c>
      <c r="C127" s="732">
        <f>[2]Database!$K$353</f>
        <v>87.58</v>
      </c>
      <c r="D127" s="734">
        <f>SUM([2]Database!$L$351:$L$353)*1000</f>
        <v>16583.707000000002</v>
      </c>
      <c r="E127" s="734">
        <f>SUM([6]Database!$C$243:$C$245)</f>
        <v>1787.7279599999997</v>
      </c>
      <c r="F127" s="734">
        <f>SUM([5]Database!$D$218:$D$220)</f>
        <v>320.90899999999999</v>
      </c>
      <c r="G127" s="734">
        <f>SUM([3]Database!$C$338:$C$340)</f>
        <v>3094</v>
      </c>
      <c r="H127" s="736">
        <f>SUM([4]Database!$C$409:$C$411)</f>
        <v>743</v>
      </c>
      <c r="I127" s="788"/>
      <c r="J127" s="782"/>
    </row>
    <row r="128" spans="1:10" s="776" customFormat="1" ht="15" customHeight="1" x14ac:dyDescent="0.2">
      <c r="A128" s="746" t="s">
        <v>301</v>
      </c>
      <c r="B128" s="732">
        <f>[2]Database!$G$356</f>
        <v>351</v>
      </c>
      <c r="C128" s="732">
        <f>[2]Database!$K$356</f>
        <v>99.01</v>
      </c>
      <c r="D128" s="734">
        <f>SUM([2]Database!$L$354:$L$356)*1000</f>
        <v>19437.432000000001</v>
      </c>
      <c r="E128" s="734">
        <f>SUM([6]Database!$C$246:$C$248)</f>
        <v>2726.2999800000002</v>
      </c>
      <c r="F128" s="734">
        <f>SUM([5]Database!$D$221:$D$223)</f>
        <v>541.38499999999999</v>
      </c>
      <c r="G128" s="734">
        <f>SUM([3]Database!$C$341:$C$343)</f>
        <v>3495</v>
      </c>
      <c r="H128" s="736">
        <f>SUM([4]Database!$C$412:$C$414)</f>
        <v>790</v>
      </c>
      <c r="I128" s="788"/>
      <c r="J128" s="782"/>
    </row>
    <row r="129" spans="1:43" s="776" customFormat="1" ht="15" customHeight="1" x14ac:dyDescent="0.2">
      <c r="A129" s="801" t="s">
        <v>303</v>
      </c>
      <c r="B129" s="732">
        <f>[2]Database!$G$359</f>
        <v>360</v>
      </c>
      <c r="C129" s="732">
        <f>[2]Database!$K$359</f>
        <v>106.18</v>
      </c>
      <c r="D129" s="734">
        <f>SUM([2]Database!$L$357:$L$359)*1000</f>
        <v>20354.64</v>
      </c>
      <c r="E129" s="734">
        <f>SUM([6]Database!$C$249:$C$251)</f>
        <v>1047.98083</v>
      </c>
      <c r="F129" s="734">
        <f>SUM([5]Database!$D$224:$D$226)</f>
        <v>703.05600000000004</v>
      </c>
      <c r="G129" s="734">
        <f>SUM([3]Database!$C$344:$C$346)</f>
        <v>2830</v>
      </c>
      <c r="H129" s="736">
        <f>SUM([4]Database!$C$415:$C$417)</f>
        <v>779</v>
      </c>
      <c r="I129" s="802"/>
      <c r="J129" s="782"/>
    </row>
    <row r="130" spans="1:43" s="776" customFormat="1" ht="15" customHeight="1" x14ac:dyDescent="0.2">
      <c r="A130" s="803" t="s">
        <v>305</v>
      </c>
      <c r="B130" s="732">
        <f>[2]Database!$G$362</f>
        <v>355</v>
      </c>
      <c r="C130" s="732">
        <f>[2]Database!$K$362</f>
        <v>90.03</v>
      </c>
      <c r="D130" s="734">
        <f>SUM([2]Database!$L$360:$L$362)*1000</f>
        <v>19586.111000000001</v>
      </c>
      <c r="E130" s="734">
        <f>SUM([6]Database!$C$252:$C$254)</f>
        <v>1318.4674000000002</v>
      </c>
      <c r="F130" s="734">
        <f>SUM([5]Database!$D$227:$D$229)</f>
        <v>146.69999999999999</v>
      </c>
      <c r="G130" s="734">
        <f>SUM([3]Database!$C$347:$C$349)</f>
        <v>3014</v>
      </c>
      <c r="H130" s="736">
        <f>SUM([4]Database!$C$418:$C$420)</f>
        <v>976</v>
      </c>
      <c r="I130" s="788"/>
      <c r="J130" s="782"/>
    </row>
    <row r="131" spans="1:43" s="776" customFormat="1" ht="15" customHeight="1" x14ac:dyDescent="0.2">
      <c r="A131" s="803" t="s">
        <v>306</v>
      </c>
      <c r="B131" s="732">
        <f>[2]Database!$G$365</f>
        <v>330</v>
      </c>
      <c r="C131" s="732">
        <f>[2]Database!$K$365</f>
        <v>96.03</v>
      </c>
      <c r="D131" s="734">
        <f>SUM([2]Database!$L$363:$L$365)*1000</f>
        <v>18032.312000000002</v>
      </c>
      <c r="E131" s="734">
        <f>SUM([6]Database!$C$255:$C$257)</f>
        <v>1542.32942</v>
      </c>
      <c r="F131" s="734">
        <f>SUM([5]Database!$D$230:$D$232)</f>
        <v>433.12200000000001</v>
      </c>
      <c r="G131" s="734">
        <f>SUM([3]Database!$C$350:$C$352)</f>
        <v>3456</v>
      </c>
      <c r="H131" s="736">
        <f>SUM([4]Database!$C$421:$C$423)</f>
        <v>769</v>
      </c>
      <c r="I131" s="802"/>
      <c r="J131" s="782"/>
    </row>
    <row r="132" spans="1:43" s="776" customFormat="1" ht="15" customHeight="1" x14ac:dyDescent="0.2">
      <c r="A132" s="803" t="s">
        <v>313</v>
      </c>
      <c r="B132" s="732">
        <f>[2]Database!$G$368</f>
        <v>325</v>
      </c>
      <c r="C132" s="732">
        <f>[2]Database!$K$368</f>
        <v>91.69</v>
      </c>
      <c r="D132" s="734">
        <f>SUM([2]Database!$L$366:$L$368)*1000</f>
        <v>20829.718999999997</v>
      </c>
      <c r="E132" s="734">
        <f>SUM([6]Database!$C$258:$C$260)</f>
        <v>1944.6531500000001</v>
      </c>
      <c r="F132" s="734">
        <f>SUM([5]Database!$D$233:$D$235)</f>
        <v>200.49099999999999</v>
      </c>
      <c r="G132" s="734">
        <f>SUM([3]Database!$C$353:$C$355)</f>
        <v>3521</v>
      </c>
      <c r="H132" s="736">
        <f>SUM([4]Database!$C$424:$C$426)</f>
        <v>976</v>
      </c>
      <c r="I132" s="788"/>
      <c r="J132" s="782"/>
    </row>
    <row r="133" spans="1:43" s="776" customFormat="1" ht="15" customHeight="1" x14ac:dyDescent="0.2">
      <c r="A133" s="804" t="s">
        <v>315</v>
      </c>
      <c r="B133" s="805">
        <f>[2]Database!$G$371</f>
        <v>330</v>
      </c>
      <c r="C133" s="805">
        <f>[2]Database!$K$371</f>
        <v>89.47</v>
      </c>
      <c r="D133" s="806">
        <f>SUM([2]Database!$L$369:$L$371)*1000</f>
        <v>21836.534999999996</v>
      </c>
      <c r="E133" s="806">
        <f>SUM([6]Database!$C$261:$C$263)</f>
        <v>1603.1842099999999</v>
      </c>
      <c r="F133" s="806">
        <f>SUM([5]Database!$D$236:$D$238)</f>
        <v>297.09899999999999</v>
      </c>
      <c r="G133" s="806">
        <f>SUM([3]Database!$C$356:$C$358)</f>
        <v>2775</v>
      </c>
      <c r="H133" s="807">
        <f>SUM([4]Database!$C$427:$C$429)</f>
        <v>741</v>
      </c>
      <c r="I133" s="788"/>
      <c r="J133" s="828" t="s">
        <v>319</v>
      </c>
    </row>
    <row r="134" spans="1:43" ht="14.25" customHeight="1" x14ac:dyDescent="0.3">
      <c r="A134" s="644" t="s">
        <v>302</v>
      </c>
      <c r="B134" s="293"/>
      <c r="C134" s="293"/>
      <c r="D134" s="293"/>
      <c r="E134" s="293"/>
      <c r="F134" s="293"/>
      <c r="G134" s="293"/>
      <c r="H134" s="293"/>
      <c r="I134" s="604"/>
      <c r="J134" s="704"/>
    </row>
    <row r="135" spans="1:43" x14ac:dyDescent="0.2">
      <c r="A135" s="789" t="s">
        <v>286</v>
      </c>
      <c r="I135" s="60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">
      <c r="A136" s="1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8" spans="1:43" x14ac:dyDescent="0.2">
      <c r="A138" s="10"/>
      <c r="J138" s="706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">
      <c r="J139" s="70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">
      <c r="J140" s="70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">
      <c r="A141" s="10"/>
      <c r="J141" s="70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">
      <c r="A142" s="10"/>
      <c r="J142" s="706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">
      <c r="A143" s="10"/>
      <c r="J143" s="70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6" spans="9:43" x14ac:dyDescent="0.2"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9:43" x14ac:dyDescent="0.2">
      <c r="Q147" s="642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56" spans="9:43" x14ac:dyDescent="0.2">
      <c r="I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</sheetData>
  <phoneticPr fontId="2" type="noConversion"/>
  <printOptions gridLinesSet="0"/>
  <pageMargins left="0.59" right="1.9690000000000001" top="0.59050000000000002" bottom="1.33" header="0" footer="0"/>
  <pageSetup paperSize="9"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B115" transitionEvaluation="1" codeName="Sheet7">
    <tabColor rgb="FF92D050"/>
    <pageSetUpPr fitToPage="1"/>
  </sheetPr>
  <dimension ref="A1:BD139"/>
  <sheetViews>
    <sheetView showGridLines="0" showOutlineSymbols="0" zoomScaleNormal="100" zoomScaleSheetLayoutView="110" workbookViewId="0">
      <pane xSplit="1" ySplit="6" topLeftCell="B115" activePane="bottomRight" state="frozen"/>
      <selection activeCell="F113" sqref="F113"/>
      <selection pane="topRight" activeCell="F113" sqref="F113"/>
      <selection pane="bottomLeft" activeCell="F113" sqref="F113"/>
      <selection pane="bottomRight" activeCell="C130" sqref="C130"/>
    </sheetView>
  </sheetViews>
  <sheetFormatPr defaultColWidth="14" defaultRowHeight="10.199999999999999" outlineLevelRow="1" x14ac:dyDescent="0.2"/>
  <cols>
    <col min="1" max="1" width="13.83203125" style="747" customWidth="1"/>
    <col min="2" max="2" width="14.1640625" style="12" customWidth="1"/>
    <col min="3" max="3" width="12.6640625" style="12" bestFit="1" customWidth="1"/>
    <col min="4" max="5" width="13" style="12" customWidth="1"/>
    <col min="6" max="6" width="12" style="12" customWidth="1"/>
    <col min="7" max="7" width="12.83203125" style="12" customWidth="1"/>
    <col min="8" max="8" width="11.33203125" style="12" customWidth="1"/>
    <col min="9" max="9" width="14.33203125" style="12" customWidth="1"/>
    <col min="10" max="10" width="14" style="707"/>
    <col min="11" max="11" width="13" style="12" customWidth="1"/>
    <col min="12" max="45" width="14" style="12"/>
    <col min="46" max="46" width="1" style="12" customWidth="1"/>
    <col min="47" max="47" width="5.6640625" style="12" hidden="1" customWidth="1"/>
    <col min="48" max="48" width="4.33203125" style="12" hidden="1" customWidth="1"/>
    <col min="49" max="49" width="4.83203125" style="12" hidden="1" customWidth="1"/>
    <col min="50" max="50" width="4.1640625" style="12" hidden="1" customWidth="1"/>
    <col min="51" max="51" width="4" style="12" hidden="1" customWidth="1"/>
    <col min="52" max="52" width="4.33203125" style="12" hidden="1" customWidth="1"/>
    <col min="53" max="53" width="5" style="12" hidden="1" customWidth="1"/>
    <col min="54" max="54" width="5.33203125" style="12" hidden="1" customWidth="1"/>
    <col min="55" max="55" width="5.83203125" style="12" hidden="1" customWidth="1"/>
    <col min="56" max="56" width="4.6640625" style="12" hidden="1" customWidth="1"/>
    <col min="57" max="16384" width="14" style="12"/>
  </cols>
  <sheetData>
    <row r="1" spans="1:15" ht="20.100000000000001" customHeight="1" x14ac:dyDescent="0.2">
      <c r="A1" s="658" t="s">
        <v>297</v>
      </c>
      <c r="B1" s="42"/>
      <c r="C1" s="42"/>
      <c r="D1" s="42"/>
      <c r="E1" s="42"/>
      <c r="F1" s="42"/>
      <c r="G1" s="42"/>
      <c r="H1" s="42"/>
      <c r="I1" s="42"/>
    </row>
    <row r="2" spans="1:15" ht="15" customHeight="1" x14ac:dyDescent="0.25">
      <c r="A2" s="832" t="s">
        <v>169</v>
      </c>
      <c r="B2" s="832"/>
      <c r="C2" s="832"/>
      <c r="D2" s="832"/>
      <c r="E2" s="832"/>
      <c r="F2" s="832"/>
      <c r="G2" s="832"/>
      <c r="H2" s="832"/>
      <c r="I2" s="832"/>
    </row>
    <row r="3" spans="1:15" ht="18" customHeight="1" x14ac:dyDescent="0.2">
      <c r="A3" s="744"/>
      <c r="B3" s="656"/>
      <c r="C3" s="656"/>
      <c r="E3" s="668" t="s">
        <v>170</v>
      </c>
      <c r="F3" s="656"/>
      <c r="G3" s="656"/>
      <c r="H3" s="656"/>
      <c r="I3" s="656"/>
      <c r="K3" s="597"/>
    </row>
    <row r="4" spans="1:15" ht="15" customHeight="1" x14ac:dyDescent="0.2">
      <c r="A4" s="744"/>
      <c r="B4" s="656"/>
      <c r="C4" s="656"/>
      <c r="D4" s="656"/>
      <c r="E4" s="656"/>
      <c r="F4" s="656"/>
      <c r="G4" s="656"/>
      <c r="H4" s="656"/>
      <c r="I4" s="656"/>
    </row>
    <row r="5" spans="1:15" ht="15" customHeight="1" x14ac:dyDescent="0.2">
      <c r="A5" s="743" t="s">
        <v>6</v>
      </c>
      <c r="B5" s="19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 t="s">
        <v>44</v>
      </c>
      <c r="H5" s="19" t="s">
        <v>45</v>
      </c>
      <c r="I5" s="20" t="s">
        <v>46</v>
      </c>
    </row>
    <row r="6" spans="1:15" ht="15" customHeight="1" x14ac:dyDescent="0.2">
      <c r="A6" s="745"/>
      <c r="B6" s="23"/>
      <c r="C6" s="24" t="s">
        <v>47</v>
      </c>
      <c r="D6" s="23"/>
      <c r="E6" s="23"/>
      <c r="F6" s="23"/>
      <c r="G6" s="653" t="s">
        <v>48</v>
      </c>
      <c r="H6" s="23"/>
      <c r="I6" s="708"/>
      <c r="J6" s="811" t="s">
        <v>193</v>
      </c>
    </row>
    <row r="7" spans="1:15" ht="15" customHeight="1" x14ac:dyDescent="0.2">
      <c r="A7" s="723" t="s">
        <v>148</v>
      </c>
      <c r="B7" s="827">
        <f>SUM(B32:B35)</f>
        <v>1543.7454050000001</v>
      </c>
      <c r="C7" s="827">
        <f t="shared" ref="C7:I7" si="0">SUM(C32:C35)</f>
        <v>559.76225999999997</v>
      </c>
      <c r="D7" s="827">
        <f t="shared" si="0"/>
        <v>503.86295999999999</v>
      </c>
      <c r="E7" s="827">
        <f t="shared" si="0"/>
        <v>31.797085000000003</v>
      </c>
      <c r="F7" s="827">
        <f t="shared" si="0"/>
        <v>213.73761999999999</v>
      </c>
      <c r="G7" s="827">
        <f t="shared" si="0"/>
        <v>23.553329999999946</v>
      </c>
      <c r="H7" s="827">
        <f t="shared" si="0"/>
        <v>208.5326</v>
      </c>
      <c r="I7" s="810">
        <f t="shared" si="0"/>
        <v>2.4995500000000002</v>
      </c>
      <c r="J7" s="812">
        <f t="shared" ref="J7:J27" si="1">B7-C7-D7-E7-F7-G7-H7-I7</f>
        <v>2.2648549702353193E-13</v>
      </c>
    </row>
    <row r="8" spans="1:15" ht="15" customHeight="1" x14ac:dyDescent="0.2">
      <c r="A8" s="723" t="s">
        <v>149</v>
      </c>
      <c r="B8" s="585">
        <f>SUM(B36:B39)</f>
        <v>1538.6873399999999</v>
      </c>
      <c r="C8" s="585">
        <f t="shared" ref="C8:I8" si="2">SUM(C36:C39)</f>
        <v>693.54607999999996</v>
      </c>
      <c r="D8" s="585">
        <f t="shared" si="2"/>
        <v>153.35263</v>
      </c>
      <c r="E8" s="585">
        <f t="shared" si="2"/>
        <v>48.568150000000003</v>
      </c>
      <c r="F8" s="585">
        <f t="shared" si="2"/>
        <v>343.68666999999994</v>
      </c>
      <c r="G8" s="585">
        <f t="shared" si="2"/>
        <v>69.904599999999988</v>
      </c>
      <c r="H8" s="585">
        <f t="shared" si="2"/>
        <v>227.60496000000001</v>
      </c>
      <c r="I8" s="591">
        <f t="shared" si="2"/>
        <v>2.0242499999999999</v>
      </c>
      <c r="J8" s="812">
        <f t="shared" si="1"/>
        <v>2.3536728122053319E-14</v>
      </c>
    </row>
    <row r="9" spans="1:15" ht="15" customHeight="1" x14ac:dyDescent="0.2">
      <c r="A9" s="723" t="s">
        <v>152</v>
      </c>
      <c r="B9" s="585">
        <f>SUM(B40:B43)</f>
        <v>1644.6965300000002</v>
      </c>
      <c r="C9" s="404">
        <f t="shared" ref="C9:I9" si="3">SUM(C40:C41,C42:C43)</f>
        <v>563.85608999999999</v>
      </c>
      <c r="D9" s="404">
        <f>SUM(D40:D41,D42:D43)</f>
        <v>81.560779999999994</v>
      </c>
      <c r="E9" s="404">
        <f t="shared" si="3"/>
        <v>49.470010000000002</v>
      </c>
      <c r="F9" s="404">
        <f t="shared" si="3"/>
        <v>159.56224</v>
      </c>
      <c r="G9" s="404">
        <f t="shared" si="3"/>
        <v>132.44024000000002</v>
      </c>
      <c r="H9" s="404">
        <f t="shared" si="3"/>
        <v>619.69604000000004</v>
      </c>
      <c r="I9" s="407">
        <f t="shared" si="3"/>
        <v>38.111130000000003</v>
      </c>
      <c r="J9" s="812">
        <f t="shared" si="1"/>
        <v>1.1368683772161603E-13</v>
      </c>
      <c r="K9" s="34"/>
    </row>
    <row r="10" spans="1:15" ht="15" customHeight="1" x14ac:dyDescent="0.2">
      <c r="A10" s="723" t="s">
        <v>153</v>
      </c>
      <c r="B10" s="585">
        <f>SUM(B44:B47)</f>
        <v>1998.1092200000001</v>
      </c>
      <c r="C10" s="404">
        <f t="shared" ref="C10:I10" si="4">SUM(C44:C45,C46:C47)</f>
        <v>766.41309999999999</v>
      </c>
      <c r="D10" s="404">
        <f t="shared" si="4"/>
        <v>76.679999999999993</v>
      </c>
      <c r="E10" s="404">
        <f t="shared" si="4"/>
        <v>62.153349999999996</v>
      </c>
      <c r="F10" s="404">
        <f t="shared" si="4"/>
        <v>356.07717000000002</v>
      </c>
      <c r="G10" s="404">
        <f t="shared" si="4"/>
        <v>112.78009</v>
      </c>
      <c r="H10" s="404">
        <f t="shared" si="4"/>
        <v>576.66621000000009</v>
      </c>
      <c r="I10" s="407">
        <f t="shared" si="4"/>
        <v>47.339299999999994</v>
      </c>
      <c r="J10" s="812">
        <f t="shared" si="1"/>
        <v>-1.2789769243681803E-13</v>
      </c>
      <c r="K10" s="34"/>
      <c r="O10" s="42"/>
    </row>
    <row r="11" spans="1:15" ht="15" customHeight="1" x14ac:dyDescent="0.2">
      <c r="A11" s="723" t="s">
        <v>154</v>
      </c>
      <c r="B11" s="585">
        <f t="shared" ref="B11:I11" si="5">SUM(B48:B51)</f>
        <v>1727.36636</v>
      </c>
      <c r="C11" s="404">
        <f t="shared" si="5"/>
        <v>838.87339999999995</v>
      </c>
      <c r="D11" s="404">
        <f t="shared" si="5"/>
        <v>66.216699999999989</v>
      </c>
      <c r="E11" s="404">
        <f t="shared" si="5"/>
        <v>65.332369999999997</v>
      </c>
      <c r="F11" s="404">
        <f t="shared" si="5"/>
        <v>242.1901</v>
      </c>
      <c r="G11" s="404">
        <f t="shared" si="5"/>
        <v>73.667100000000019</v>
      </c>
      <c r="H11" s="404">
        <f t="shared" si="5"/>
        <v>413.24089000000004</v>
      </c>
      <c r="I11" s="407">
        <f t="shared" si="5"/>
        <v>27.845799999999997</v>
      </c>
      <c r="J11" s="812">
        <f t="shared" si="1"/>
        <v>5.6843418860808015E-14</v>
      </c>
      <c r="K11" s="34"/>
    </row>
    <row r="12" spans="1:15" ht="15" customHeight="1" x14ac:dyDescent="0.2">
      <c r="A12" s="723" t="s">
        <v>155</v>
      </c>
      <c r="B12" s="585">
        <f t="shared" ref="B12:I12" si="6">SUM(B52:B55)</f>
        <v>2175.9605600000004</v>
      </c>
      <c r="C12" s="404">
        <f t="shared" si="6"/>
        <v>968.17280000000005</v>
      </c>
      <c r="D12" s="404">
        <f t="shared" si="6"/>
        <v>140.35489999999999</v>
      </c>
      <c r="E12" s="404">
        <f t="shared" si="6"/>
        <v>62.591150000000006</v>
      </c>
      <c r="F12" s="404">
        <f t="shared" si="6"/>
        <v>434.88979999999998</v>
      </c>
      <c r="G12" s="404">
        <f t="shared" si="6"/>
        <v>63.39130000000003</v>
      </c>
      <c r="H12" s="404">
        <f t="shared" si="6"/>
        <v>486.43653</v>
      </c>
      <c r="I12" s="407">
        <f t="shared" si="6"/>
        <v>20.124079999999999</v>
      </c>
      <c r="J12" s="812">
        <f t="shared" si="1"/>
        <v>4.4764192352886312E-13</v>
      </c>
      <c r="K12" s="34"/>
    </row>
    <row r="13" spans="1:15" ht="15" customHeight="1" x14ac:dyDescent="0.2">
      <c r="A13" s="723" t="s">
        <v>156</v>
      </c>
      <c r="B13" s="585">
        <f t="shared" ref="B13:I13" si="7">SUM(B56:B59)</f>
        <v>1584.8586699999996</v>
      </c>
      <c r="C13" s="404">
        <f t="shared" si="7"/>
        <v>638.30489</v>
      </c>
      <c r="D13" s="404">
        <f t="shared" si="7"/>
        <v>115.69768999999999</v>
      </c>
      <c r="E13" s="404">
        <f t="shared" si="7"/>
        <v>35.236639999999994</v>
      </c>
      <c r="F13" s="404">
        <f t="shared" si="7"/>
        <v>224.04052000000001</v>
      </c>
      <c r="G13" s="404">
        <f t="shared" si="7"/>
        <v>78.311129999999963</v>
      </c>
      <c r="H13" s="404">
        <f t="shared" si="7"/>
        <v>484.60363000000001</v>
      </c>
      <c r="I13" s="407">
        <f t="shared" si="7"/>
        <v>8.6641699999999986</v>
      </c>
      <c r="J13" s="812">
        <f t="shared" si="1"/>
        <v>-2.7000623958883807E-13</v>
      </c>
      <c r="K13" s="34"/>
    </row>
    <row r="14" spans="1:15" ht="15" customHeight="1" x14ac:dyDescent="0.2">
      <c r="A14" s="723" t="s">
        <v>157</v>
      </c>
      <c r="B14" s="585">
        <f t="shared" ref="B14:I14" si="8">SUM(B60:B63)</f>
        <v>2787.3974399999997</v>
      </c>
      <c r="C14" s="404">
        <f t="shared" si="8"/>
        <v>1206.99847</v>
      </c>
      <c r="D14" s="404">
        <f t="shared" si="8"/>
        <v>197.8271</v>
      </c>
      <c r="E14" s="404">
        <f t="shared" si="8"/>
        <v>143.28946999999997</v>
      </c>
      <c r="F14" s="404">
        <f t="shared" si="8"/>
        <v>799.42652999999996</v>
      </c>
      <c r="G14" s="404">
        <f t="shared" si="8"/>
        <v>86.3465300000002</v>
      </c>
      <c r="H14" s="404">
        <f t="shared" si="8"/>
        <v>349.80027000000001</v>
      </c>
      <c r="I14" s="407">
        <f t="shared" si="8"/>
        <v>3.7090699999999996</v>
      </c>
      <c r="J14" s="812">
        <f t="shared" si="1"/>
        <v>-3.4372504842394846E-13</v>
      </c>
      <c r="K14" s="34"/>
    </row>
    <row r="15" spans="1:15" ht="15" customHeight="1" x14ac:dyDescent="0.2">
      <c r="A15" s="723" t="s">
        <v>158</v>
      </c>
      <c r="B15" s="585">
        <f t="shared" ref="B15:I15" si="9">SUM(B64:B67)</f>
        <v>1632.8090200000001</v>
      </c>
      <c r="C15" s="404">
        <f t="shared" si="9"/>
        <v>327.62050000000005</v>
      </c>
      <c r="D15" s="404">
        <f t="shared" si="9"/>
        <v>74.222920000000002</v>
      </c>
      <c r="E15" s="404">
        <f t="shared" si="9"/>
        <v>34.03246</v>
      </c>
      <c r="F15" s="404">
        <f t="shared" si="9"/>
        <v>636.11068999999998</v>
      </c>
      <c r="G15" s="404">
        <f t="shared" si="9"/>
        <v>85.002769999999984</v>
      </c>
      <c r="H15" s="404">
        <f t="shared" si="9"/>
        <v>460.40986000000004</v>
      </c>
      <c r="I15" s="407">
        <f t="shared" si="9"/>
        <v>15.40982</v>
      </c>
      <c r="J15" s="812">
        <f t="shared" si="1"/>
        <v>3.0908609005564358E-13</v>
      </c>
      <c r="K15" s="34"/>
    </row>
    <row r="16" spans="1:15" ht="15" customHeight="1" outlineLevel="1" x14ac:dyDescent="0.2">
      <c r="A16" s="723" t="s">
        <v>159</v>
      </c>
      <c r="B16" s="585">
        <f t="shared" ref="B16:I16" si="10">SUM(B68:B71)</f>
        <v>5307.0471899999993</v>
      </c>
      <c r="C16" s="404">
        <f t="shared" si="10"/>
        <v>2064.2897999999996</v>
      </c>
      <c r="D16" s="404">
        <f t="shared" si="10"/>
        <v>201.08012000000002</v>
      </c>
      <c r="E16" s="404">
        <f t="shared" si="10"/>
        <v>87.070390000000003</v>
      </c>
      <c r="F16" s="404">
        <f t="shared" si="10"/>
        <v>1358.8247799999999</v>
      </c>
      <c r="G16" s="404">
        <f t="shared" si="10"/>
        <v>431.61562999999984</v>
      </c>
      <c r="H16" s="404">
        <f t="shared" si="10"/>
        <v>1114.1362999999999</v>
      </c>
      <c r="I16" s="407">
        <f t="shared" si="10"/>
        <v>50.030169999999998</v>
      </c>
      <c r="J16" s="812">
        <f t="shared" si="1"/>
        <v>2.2737367544323206E-13</v>
      </c>
      <c r="K16" s="34"/>
    </row>
    <row r="17" spans="1:14" s="592" customFormat="1" ht="15" customHeight="1" x14ac:dyDescent="0.2">
      <c r="A17" s="723" t="s">
        <v>160</v>
      </c>
      <c r="B17" s="585">
        <f t="shared" ref="B17:I17" si="11">SUM(B72:B75)</f>
        <v>3062.3754600000002</v>
      </c>
      <c r="C17" s="404">
        <f t="shared" si="11"/>
        <v>990.86788999999987</v>
      </c>
      <c r="D17" s="404">
        <f t="shared" si="11"/>
        <v>205.86121000000003</v>
      </c>
      <c r="E17" s="404">
        <f t="shared" si="11"/>
        <v>89.221590000000006</v>
      </c>
      <c r="F17" s="404">
        <f t="shared" si="11"/>
        <v>551.52777000000003</v>
      </c>
      <c r="G17" s="404">
        <f t="shared" si="11"/>
        <v>196.18022999999999</v>
      </c>
      <c r="H17" s="404">
        <f t="shared" si="11"/>
        <v>977.0306700000001</v>
      </c>
      <c r="I17" s="407">
        <f t="shared" si="11"/>
        <v>51.686099999999996</v>
      </c>
      <c r="J17" s="812">
        <f t="shared" si="1"/>
        <v>-9.9475983006414026E-14</v>
      </c>
      <c r="K17" s="599"/>
      <c r="N17" s="709"/>
    </row>
    <row r="18" spans="1:14" s="592" customFormat="1" ht="15" customHeight="1" x14ac:dyDescent="0.2">
      <c r="A18" s="723" t="s">
        <v>161</v>
      </c>
      <c r="B18" s="585">
        <f t="shared" ref="B18:I18" si="12">SUM(B76:B79)</f>
        <v>5037.7003100000002</v>
      </c>
      <c r="C18" s="404">
        <f t="shared" si="12"/>
        <v>1971.0682200000001</v>
      </c>
      <c r="D18" s="404">
        <f t="shared" si="12"/>
        <v>271.75979999999998</v>
      </c>
      <c r="E18" s="404">
        <f t="shared" si="12"/>
        <v>80.507149999999996</v>
      </c>
      <c r="F18" s="404">
        <f t="shared" si="12"/>
        <v>791.70526999999993</v>
      </c>
      <c r="G18" s="404">
        <f t="shared" si="12"/>
        <v>337.85825999999992</v>
      </c>
      <c r="H18" s="404">
        <f t="shared" si="12"/>
        <v>1491.45569</v>
      </c>
      <c r="I18" s="407">
        <f t="shared" si="12"/>
        <v>93.345919999999992</v>
      </c>
      <c r="J18" s="812">
        <f t="shared" si="1"/>
        <v>4.4053649617126212E-13</v>
      </c>
      <c r="K18" s="599"/>
    </row>
    <row r="19" spans="1:14" s="592" customFormat="1" ht="15" customHeight="1" x14ac:dyDescent="0.2">
      <c r="A19" s="723" t="s">
        <v>163</v>
      </c>
      <c r="B19" s="585">
        <f t="shared" ref="B19:I19" si="13">SUM(B80:B83)</f>
        <v>3679.7992699999995</v>
      </c>
      <c r="C19" s="404">
        <f t="shared" si="13"/>
        <v>1729.4485399999999</v>
      </c>
      <c r="D19" s="404">
        <f t="shared" si="13"/>
        <v>207.87331999999998</v>
      </c>
      <c r="E19" s="404">
        <f t="shared" si="13"/>
        <v>102.52157</v>
      </c>
      <c r="F19" s="404">
        <f t="shared" si="13"/>
        <v>664.6407999999999</v>
      </c>
      <c r="G19" s="404">
        <f t="shared" si="13"/>
        <v>170.23955000000007</v>
      </c>
      <c r="H19" s="404">
        <f t="shared" si="13"/>
        <v>760.0635299999999</v>
      </c>
      <c r="I19" s="407">
        <f t="shared" si="13"/>
        <v>45.011959999999995</v>
      </c>
      <c r="J19" s="812">
        <f t="shared" si="1"/>
        <v>-1.7763568394002505E-13</v>
      </c>
      <c r="K19" s="599"/>
    </row>
    <row r="20" spans="1:14" s="592" customFormat="1" ht="15" customHeight="1" x14ac:dyDescent="0.2">
      <c r="A20" s="723" t="s">
        <v>164</v>
      </c>
      <c r="B20" s="585">
        <f t="shared" ref="B20:I20" si="14">SUM(B84:B87)</f>
        <v>4651.8947799999996</v>
      </c>
      <c r="C20" s="404">
        <f t="shared" si="14"/>
        <v>2224.5127499999999</v>
      </c>
      <c r="D20" s="404">
        <f t="shared" si="14"/>
        <v>216.50906999999998</v>
      </c>
      <c r="E20" s="404">
        <f t="shared" si="14"/>
        <v>148.23756</v>
      </c>
      <c r="F20" s="404">
        <f t="shared" si="14"/>
        <v>1076.3773900000001</v>
      </c>
      <c r="G20" s="404">
        <f t="shared" si="14"/>
        <v>278.3845</v>
      </c>
      <c r="H20" s="404">
        <f t="shared" si="14"/>
        <v>676.98876000000007</v>
      </c>
      <c r="I20" s="407">
        <f t="shared" si="14"/>
        <v>30.88475</v>
      </c>
      <c r="J20" s="812">
        <f t="shared" si="1"/>
        <v>-5.1514348342607263E-13</v>
      </c>
      <c r="K20" s="599"/>
    </row>
    <row r="21" spans="1:14" s="592" customFormat="1" ht="15" customHeight="1" x14ac:dyDescent="0.2">
      <c r="A21" s="722" t="s">
        <v>166</v>
      </c>
      <c r="B21" s="585">
        <f t="shared" ref="B21:I21" si="15">SUM(B88:B91)</f>
        <v>4725.0706</v>
      </c>
      <c r="C21" s="585">
        <f t="shared" si="15"/>
        <v>2111.8618200000001</v>
      </c>
      <c r="D21" s="585">
        <f t="shared" si="15"/>
        <v>216.79167999999999</v>
      </c>
      <c r="E21" s="585">
        <f t="shared" si="15"/>
        <v>157.32071000000002</v>
      </c>
      <c r="F21" s="585">
        <f t="shared" si="15"/>
        <v>1185.95146</v>
      </c>
      <c r="G21" s="585">
        <f t="shared" si="15"/>
        <v>268.86648000000008</v>
      </c>
      <c r="H21" s="585">
        <f t="shared" si="15"/>
        <v>742.24768000000006</v>
      </c>
      <c r="I21" s="591">
        <f t="shared" si="15"/>
        <v>42.030769999999997</v>
      </c>
      <c r="J21" s="812">
        <f t="shared" si="1"/>
        <v>0</v>
      </c>
      <c r="K21" s="599"/>
    </row>
    <row r="22" spans="1:14" s="592" customFormat="1" ht="15" customHeight="1" x14ac:dyDescent="0.2">
      <c r="A22" s="722" t="s">
        <v>168</v>
      </c>
      <c r="B22" s="585">
        <f t="shared" ref="B22:I22" si="16">SUM(B92:B95)</f>
        <v>4662.5243</v>
      </c>
      <c r="C22" s="585">
        <f t="shared" si="16"/>
        <v>2249.5877100000002</v>
      </c>
      <c r="D22" s="585">
        <f t="shared" si="16"/>
        <v>191.64368999999999</v>
      </c>
      <c r="E22" s="585">
        <f t="shared" si="16"/>
        <v>145.23750000000001</v>
      </c>
      <c r="F22" s="585">
        <f t="shared" si="16"/>
        <v>896.31110999999999</v>
      </c>
      <c r="G22" s="585">
        <f t="shared" si="16"/>
        <v>277.65266000000008</v>
      </c>
      <c r="H22" s="585">
        <f t="shared" si="16"/>
        <v>839.23625000000004</v>
      </c>
      <c r="I22" s="591">
        <f t="shared" si="16"/>
        <v>62.855379999999997</v>
      </c>
      <c r="J22" s="812">
        <f t="shared" si="1"/>
        <v>-4.8316906031686813E-13</v>
      </c>
      <c r="K22" s="599"/>
    </row>
    <row r="23" spans="1:14" s="592" customFormat="1" ht="15" customHeight="1" x14ac:dyDescent="0.2">
      <c r="A23" s="722" t="s">
        <v>173</v>
      </c>
      <c r="B23" s="585">
        <f t="shared" ref="B23:I23" si="17">SUM(B96:B99)</f>
        <v>5876.5806000000002</v>
      </c>
      <c r="C23" s="585">
        <f t="shared" si="17"/>
        <v>2709.9274299999997</v>
      </c>
      <c r="D23" s="585">
        <f t="shared" si="17"/>
        <v>224.73410999999999</v>
      </c>
      <c r="E23" s="585">
        <f t="shared" si="17"/>
        <v>209.96007</v>
      </c>
      <c r="F23" s="585">
        <f t="shared" si="17"/>
        <v>1136.71254</v>
      </c>
      <c r="G23" s="585">
        <f t="shared" si="17"/>
        <v>374.86954999999995</v>
      </c>
      <c r="H23" s="585">
        <f t="shared" si="17"/>
        <v>1125.8184999999999</v>
      </c>
      <c r="I23" s="591">
        <f t="shared" si="17"/>
        <v>94.558399999999992</v>
      </c>
      <c r="J23" s="812">
        <f t="shared" si="1"/>
        <v>8.1001871876651421E-13</v>
      </c>
      <c r="K23" s="599"/>
    </row>
    <row r="24" spans="1:14" s="592" customFormat="1" ht="15" customHeight="1" x14ac:dyDescent="0.2">
      <c r="A24" s="722" t="s">
        <v>174</v>
      </c>
      <c r="B24" s="585">
        <f t="shared" ref="B24:I24" si="18">SUM(B100:B103)</f>
        <v>8415.3102700000018</v>
      </c>
      <c r="C24" s="585">
        <f t="shared" si="18"/>
        <v>3576.1218000000003</v>
      </c>
      <c r="D24" s="585">
        <f t="shared" si="18"/>
        <v>352.10901000000001</v>
      </c>
      <c r="E24" s="585">
        <f t="shared" si="18"/>
        <v>270.86530000000005</v>
      </c>
      <c r="F24" s="585">
        <f t="shared" si="18"/>
        <v>2370.8509300000001</v>
      </c>
      <c r="G24" s="585">
        <f t="shared" si="18"/>
        <v>399.93589000000009</v>
      </c>
      <c r="H24" s="585">
        <f t="shared" si="18"/>
        <v>1351.3652500000001</v>
      </c>
      <c r="I24" s="591">
        <f t="shared" si="18"/>
        <v>94.062090000000012</v>
      </c>
      <c r="J24" s="812">
        <f t="shared" si="1"/>
        <v>1.1368683772161603E-13</v>
      </c>
      <c r="K24" s="599"/>
    </row>
    <row r="25" spans="1:14" s="592" customFormat="1" ht="15" customHeight="1" x14ac:dyDescent="0.2">
      <c r="A25" s="722" t="s">
        <v>187</v>
      </c>
      <c r="B25" s="585">
        <f t="shared" ref="B25:I25" si="19">SUM(B104:B107)</f>
        <v>8917.9803499999998</v>
      </c>
      <c r="C25" s="585">
        <f t="shared" si="19"/>
        <v>4213.7489500000001</v>
      </c>
      <c r="D25" s="585">
        <f t="shared" si="19"/>
        <v>246.57542999999998</v>
      </c>
      <c r="E25" s="585">
        <f t="shared" si="19"/>
        <v>342.55932999999999</v>
      </c>
      <c r="F25" s="585">
        <f t="shared" si="19"/>
        <v>2138.2179500000002</v>
      </c>
      <c r="G25" s="585">
        <f t="shared" si="19"/>
        <v>315.95549999999969</v>
      </c>
      <c r="H25" s="585">
        <f t="shared" si="19"/>
        <v>1585.3921899999998</v>
      </c>
      <c r="I25" s="591">
        <f t="shared" si="19"/>
        <v>75.531000000000006</v>
      </c>
      <c r="J25" s="812">
        <f t="shared" si="1"/>
        <v>1.7053025658242404E-13</v>
      </c>
      <c r="K25" s="599"/>
    </row>
    <row r="26" spans="1:14" s="592" customFormat="1" ht="15" customHeight="1" x14ac:dyDescent="0.2">
      <c r="A26" s="722" t="s">
        <v>188</v>
      </c>
      <c r="B26" s="585">
        <f t="shared" ref="B26:I26" si="20">SUM(B108:B111)</f>
        <v>10398.871599300001</v>
      </c>
      <c r="C26" s="585">
        <f t="shared" si="20"/>
        <v>6817.7867593000001</v>
      </c>
      <c r="D26" s="585">
        <f t="shared" si="20"/>
        <v>185.52200999999997</v>
      </c>
      <c r="E26" s="585">
        <f t="shared" si="20"/>
        <v>144.04237000000001</v>
      </c>
      <c r="F26" s="585">
        <f t="shared" si="20"/>
        <v>1382.55195</v>
      </c>
      <c r="G26" s="585">
        <f t="shared" si="20"/>
        <v>236.75373000000002</v>
      </c>
      <c r="H26" s="585">
        <f t="shared" si="20"/>
        <v>1532.7791999999999</v>
      </c>
      <c r="I26" s="591">
        <f t="shared" si="20"/>
        <v>99.435580000000002</v>
      </c>
      <c r="J26" s="812">
        <f t="shared" si="1"/>
        <v>2.9842794901924208E-13</v>
      </c>
      <c r="K26" s="599"/>
    </row>
    <row r="27" spans="1:14" s="592" customFormat="1" ht="15" customHeight="1" x14ac:dyDescent="0.2">
      <c r="A27" s="722" t="s">
        <v>189</v>
      </c>
      <c r="B27" s="585">
        <f t="shared" ref="B27:I27" si="21">SUM(B112:B115)</f>
        <v>6538.5409500000005</v>
      </c>
      <c r="C27" s="585">
        <f t="shared" si="21"/>
        <v>2935.5679400000004</v>
      </c>
      <c r="D27" s="585">
        <f t="shared" si="21"/>
        <v>297.48293000000001</v>
      </c>
      <c r="E27" s="585">
        <f t="shared" si="21"/>
        <v>216.57675</v>
      </c>
      <c r="F27" s="585">
        <f t="shared" si="21"/>
        <v>1245.74325</v>
      </c>
      <c r="G27" s="585">
        <f t="shared" si="21"/>
        <v>545.76937000000021</v>
      </c>
      <c r="H27" s="585">
        <f t="shared" si="21"/>
        <v>1219.6394400000001</v>
      </c>
      <c r="I27" s="591">
        <f t="shared" si="21"/>
        <v>77.761269999999996</v>
      </c>
      <c r="J27" s="812">
        <f t="shared" si="1"/>
        <v>-4.8316906031686813E-13</v>
      </c>
      <c r="K27" s="599"/>
    </row>
    <row r="28" spans="1:14" s="592" customFormat="1" ht="15" customHeight="1" x14ac:dyDescent="0.2">
      <c r="A28" s="722" t="s">
        <v>190</v>
      </c>
      <c r="B28" s="585">
        <f t="shared" ref="B28:I28" si="22">SUM(B116:B119)</f>
        <v>7989.6556899999996</v>
      </c>
      <c r="C28" s="585">
        <f t="shared" si="22"/>
        <v>3573.7241299999996</v>
      </c>
      <c r="D28" s="585">
        <f t="shared" si="22"/>
        <v>258.99539000000004</v>
      </c>
      <c r="E28" s="585">
        <f t="shared" si="22"/>
        <v>225.23801</v>
      </c>
      <c r="F28" s="585">
        <f t="shared" si="22"/>
        <v>1775.68544</v>
      </c>
      <c r="G28" s="585">
        <f t="shared" si="22"/>
        <v>296.125</v>
      </c>
      <c r="H28" s="585">
        <f t="shared" si="22"/>
        <v>1777.2435799999998</v>
      </c>
      <c r="I28" s="591">
        <f t="shared" si="22"/>
        <v>82.644139999999993</v>
      </c>
      <c r="J28" s="812">
        <f>B28-C28-D28-E28-F28-G28-H28-I28</f>
        <v>-1.1368683772161603E-13</v>
      </c>
      <c r="K28" s="599"/>
    </row>
    <row r="29" spans="1:14" s="592" customFormat="1" ht="15" customHeight="1" x14ac:dyDescent="0.2">
      <c r="A29" s="722" t="s">
        <v>285</v>
      </c>
      <c r="B29" s="585">
        <f>SUM(B120:B123)</f>
        <v>8237.97559</v>
      </c>
      <c r="C29" s="585">
        <f t="shared" ref="C29:I29" si="23">SUM(C120:C123)</f>
        <v>3347.8692000000001</v>
      </c>
      <c r="D29" s="585">
        <f t="shared" si="23"/>
        <v>322.91183000000001</v>
      </c>
      <c r="E29" s="585">
        <f t="shared" si="23"/>
        <v>885.53125</v>
      </c>
      <c r="F29" s="585">
        <f t="shared" si="23"/>
        <v>591.56759999999997</v>
      </c>
      <c r="G29" s="585">
        <f t="shared" si="23"/>
        <v>786.27516999999989</v>
      </c>
      <c r="H29" s="585">
        <f t="shared" si="23"/>
        <v>2221.0456400000003</v>
      </c>
      <c r="I29" s="591">
        <f t="shared" si="23"/>
        <v>82.774900000000002</v>
      </c>
      <c r="J29" s="812">
        <f>B29-C29-D29-E29-F29-G29-H29-I29</f>
        <v>-1.1368683772161603E-13</v>
      </c>
      <c r="K29" s="599"/>
    </row>
    <row r="30" spans="1:14" s="592" customFormat="1" ht="15" customHeight="1" x14ac:dyDescent="0.2">
      <c r="A30" s="722" t="s">
        <v>311</v>
      </c>
      <c r="B30" s="585">
        <f>SUM(B124:B127)</f>
        <v>6258.9683299999997</v>
      </c>
      <c r="C30" s="585">
        <f t="shared" ref="C30:I30" si="24">SUM(C124:C127)</f>
        <v>2191.7369100000001</v>
      </c>
      <c r="D30" s="585">
        <f t="shared" si="24"/>
        <v>241.36308999999997</v>
      </c>
      <c r="E30" s="585">
        <f t="shared" si="24"/>
        <v>372.31197000000003</v>
      </c>
      <c r="F30" s="585">
        <f t="shared" si="24"/>
        <v>706.75046999999995</v>
      </c>
      <c r="G30" s="585">
        <f t="shared" si="24"/>
        <v>375.25058000000013</v>
      </c>
      <c r="H30" s="585">
        <f t="shared" si="24"/>
        <v>2319.8770300000001</v>
      </c>
      <c r="I30" s="591">
        <f t="shared" si="24"/>
        <v>51.678280000000001</v>
      </c>
      <c r="J30" s="812">
        <f>B30-C30-D30-E30-F30-G30-H30-I30</f>
        <v>-3.694822225952521E-13</v>
      </c>
      <c r="K30" s="599"/>
    </row>
    <row r="31" spans="1:14" s="592" customFormat="1" ht="6" customHeight="1" x14ac:dyDescent="0.2">
      <c r="A31" s="722"/>
      <c r="B31" s="585"/>
      <c r="C31" s="585"/>
      <c r="D31" s="585"/>
      <c r="E31" s="585"/>
      <c r="F31" s="585"/>
      <c r="G31" s="585"/>
      <c r="H31" s="585"/>
      <c r="I31" s="591"/>
      <c r="J31" s="812"/>
      <c r="K31" s="599"/>
    </row>
    <row r="32" spans="1:14" s="592" customFormat="1" ht="13.05" customHeight="1" x14ac:dyDescent="0.2">
      <c r="A32" s="746" t="s">
        <v>318</v>
      </c>
      <c r="B32" s="602">
        <f t="shared" ref="B32:B37" si="25">SUM(C32:I32)</f>
        <v>574.47958000000006</v>
      </c>
      <c r="C32" s="585">
        <f>SUM('[7]Value Data'!$D$87:$D$89)/1000</f>
        <v>229.03005000000002</v>
      </c>
      <c r="D32" s="585">
        <f>SUM('[7]Value Data'!$AZ$87:$AZ$89)/1000</f>
        <v>240.06940000000003</v>
      </c>
      <c r="E32" s="585">
        <f>SUM('[7]Value Data'!$AJ$87:$AJ$89)/1000</f>
        <v>4.2844700000000007</v>
      </c>
      <c r="F32" s="585">
        <f>SUM('[7]Value Data'!$AW$87:$AW$89)/1000</f>
        <v>38.086829999999999</v>
      </c>
      <c r="G32" s="585">
        <f>(SUM('[7]Value Data'!$AI$87:$AI$89)-SUM('[7]Value Data'!$AJ$87:$AJ$89)-SUM('[7]Value Data'!$AW$87:$AW$89)-SUM('[7]Value Data'!$AZ$87:$AZ$89))/1000</f>
        <v>2.6722399999999906</v>
      </c>
      <c r="H32" s="585">
        <f>SUM('[7]Value Data'!$P$87:$P$89)/1000</f>
        <v>59.854960000000005</v>
      </c>
      <c r="I32" s="591">
        <f>SUM('[7]Value Data'!$BC$87:$BC$89)/1000</f>
        <v>0.48163</v>
      </c>
      <c r="J32" s="812">
        <f t="shared" ref="J32" si="26">B32-C32-D32-E32-F32-G32-H32-I32</f>
        <v>1.6875389974302379E-14</v>
      </c>
      <c r="K32" s="599"/>
    </row>
    <row r="33" spans="1:11" s="592" customFormat="1" ht="13.05" customHeight="1" x14ac:dyDescent="0.2">
      <c r="A33" s="746" t="s">
        <v>314</v>
      </c>
      <c r="B33" s="602">
        <f t="shared" si="25"/>
        <v>513.64176999999995</v>
      </c>
      <c r="C33" s="585">
        <f>SUM('[7]Value Data'!$D$90:$D$92)/1000</f>
        <v>183.19091</v>
      </c>
      <c r="D33" s="585">
        <f>SUM('[7]Value Data'!$AZ$90:$AZ$92)/1000</f>
        <v>187.55963999999997</v>
      </c>
      <c r="E33" s="585">
        <f>SUM('[7]Value Data'!$AJ$90:$AJ$92)/1000</f>
        <v>4.6010300000000006</v>
      </c>
      <c r="F33" s="585">
        <f>SUM('[7]Value Data'!$AW$90:$AW$92)/1000</f>
        <v>66.194589999999991</v>
      </c>
      <c r="G33" s="585">
        <f>(SUM('[7]Value Data'!$AI$90:$AI$92)-SUM('[7]Value Data'!$AJ$90:$AJ$92)-SUM('[7]Value Data'!$AW$90:$AW$92)-SUM('[7]Value Data'!$AZ$90:$AZ$92))/1000</f>
        <v>10.822079999999959</v>
      </c>
      <c r="H33" s="585">
        <f>SUM('[7]Value Data'!$P$90:$P$92)/1000</f>
        <v>60.928170000000001</v>
      </c>
      <c r="I33" s="591">
        <f>SUM('[7]Value Data'!$BC$90:$BC$92)/1000</f>
        <v>0.34535000000000005</v>
      </c>
      <c r="J33" s="812">
        <f t="shared" ref="J33:J37" si="27">B33-C33-D33-E33-F33-G33-H33-I33</f>
        <v>-1.0880185641326534E-14</v>
      </c>
      <c r="K33" s="599"/>
    </row>
    <row r="34" spans="1:11" s="592" customFormat="1" ht="15" customHeight="1" x14ac:dyDescent="0.2">
      <c r="A34" s="746" t="s">
        <v>307</v>
      </c>
      <c r="B34" s="602">
        <f t="shared" si="25"/>
        <v>326.90792000000005</v>
      </c>
      <c r="C34" s="585">
        <f>SUM('[7]Value Data'!$D$93:$D$95)/1000</f>
        <v>84.882410000000007</v>
      </c>
      <c r="D34" s="585">
        <f>SUM('[7]Value Data'!$AZ$93:$AZ$95)/1000</f>
        <v>70.87312</v>
      </c>
      <c r="E34" s="585">
        <f>SUM('[7]Value Data'!$AJ$93:$AJ$95)/1000</f>
        <v>14.817500000000001</v>
      </c>
      <c r="F34" s="585">
        <f>SUM('[7]Value Data'!$AW$93:$AW$95)/1000</f>
        <v>102.94170000000001</v>
      </c>
      <c r="G34" s="585">
        <f>(SUM('[7]Value Data'!$AI$93:$AI$95)-SUM('[7]Value Data'!$AJ$93:$AJ$95)-SUM('[7]Value Data'!$AW$93:$AW$95)-SUM('[7]Value Data'!$AZ$93:$AZ$95))/1000</f>
        <v>7.5211199999999954</v>
      </c>
      <c r="H34" s="585">
        <f>SUM('[7]Value Data'!$P$93:$P$95)/1000</f>
        <v>44.59019</v>
      </c>
      <c r="I34" s="591">
        <f>SUM('[7]Value Data'!$BC$93:$BC$95)/1000</f>
        <v>1.2818800000000001</v>
      </c>
      <c r="J34" s="812">
        <f t="shared" si="27"/>
        <v>5.0626169922907138E-14</v>
      </c>
      <c r="K34" s="599"/>
    </row>
    <row r="35" spans="1:11" s="592" customFormat="1" ht="15" customHeight="1" x14ac:dyDescent="0.2">
      <c r="A35" s="746" t="s">
        <v>308</v>
      </c>
      <c r="B35" s="602">
        <f t="shared" si="25"/>
        <v>128.71613500000001</v>
      </c>
      <c r="C35" s="585">
        <f>SUM('[7]Value Data'!$D$96:$D$98)/1000</f>
        <v>62.65889</v>
      </c>
      <c r="D35" s="585">
        <f>SUM('[7]Value Data'!$AZ$96:$AZ$98)/1000</f>
        <v>5.3608000000000002</v>
      </c>
      <c r="E35" s="585">
        <f>SUM('[7]Value Data'!$AJ$96:$AJ$98)/1000</f>
        <v>8.0940849999999998</v>
      </c>
      <c r="F35" s="585">
        <f>SUM('[7]Value Data'!$AW$96:$AW$98)/1000</f>
        <v>6.5145</v>
      </c>
      <c r="G35" s="585">
        <f>(SUM('[7]Value Data'!$AI$96:$AI$98)-SUM('[7]Value Data'!$AJ$96:$AJ$98)-SUM('[7]Value Data'!$AW$96:$AW$98)-SUM('[7]Value Data'!$AZ$96:$AZ$98))/1000</f>
        <v>2.5378900000000022</v>
      </c>
      <c r="H35" s="585">
        <f>SUM('[7]Value Data'!$P$96:$P$98)/1000</f>
        <v>43.159279999999995</v>
      </c>
      <c r="I35" s="591">
        <f>SUM('[7]Value Data'!$BC$96:$BC$98)/1000</f>
        <v>0.39068999999999998</v>
      </c>
      <c r="J35" s="812">
        <f t="shared" si="27"/>
        <v>1.354472090042691E-14</v>
      </c>
      <c r="K35" s="599"/>
    </row>
    <row r="36" spans="1:11" s="592" customFormat="1" ht="15" customHeight="1" x14ac:dyDescent="0.2">
      <c r="A36" s="746" t="s">
        <v>309</v>
      </c>
      <c r="B36" s="602">
        <f t="shared" si="25"/>
        <v>372.65462000000008</v>
      </c>
      <c r="C36" s="585">
        <f>SUM('[7]Value Data'!$D$99:$D$101)/1000</f>
        <v>191.10263</v>
      </c>
      <c r="D36" s="585">
        <f>SUM('[7]Value Data'!$AZ$99:$AZ$101)/1000</f>
        <v>93.349860000000007</v>
      </c>
      <c r="E36" s="585">
        <f>SUM('[7]Value Data'!$AJ$99:$AJ$101)/1000</f>
        <v>12.460840000000001</v>
      </c>
      <c r="F36" s="585">
        <f>SUM('[7]Value Data'!$AW$99:$AW$101)/1000</f>
        <v>24.177499999999998</v>
      </c>
      <c r="G36" s="585">
        <f>(SUM('[7]Value Data'!$AI$99:$AI$101)-SUM('[7]Value Data'!$AJ$99:$AJ$101)-SUM('[7]Value Data'!$AW$99:$AW$101)-SUM('[7]Value Data'!$AZ$99:$AZ$101))/1000</f>
        <v>4.3816500000000085</v>
      </c>
      <c r="H36" s="585">
        <f>SUM('[7]Value Data'!$P$99:$P$101)/1000</f>
        <v>46.640140000000009</v>
      </c>
      <c r="I36" s="591">
        <f>SUM('[7]Value Data'!$BC$99:$BC$101)/1000</f>
        <v>0.54200000000000004</v>
      </c>
      <c r="J36" s="812">
        <f t="shared" si="27"/>
        <v>5.1292303737682232E-14</v>
      </c>
      <c r="K36" s="599"/>
    </row>
    <row r="37" spans="1:11" s="592" customFormat="1" ht="15" customHeight="1" x14ac:dyDescent="0.2">
      <c r="A37" s="746" t="s">
        <v>310</v>
      </c>
      <c r="B37" s="602">
        <f t="shared" si="25"/>
        <v>292.22163</v>
      </c>
      <c r="C37" s="585">
        <f>SUM('[7]Value Data'!$D$102:$D$104)/1000</f>
        <v>162.48981000000003</v>
      </c>
      <c r="D37" s="585">
        <f>SUM('[7]Value Data'!$AZ$102:$AZ$104)/1000</f>
        <v>23.911069999999999</v>
      </c>
      <c r="E37" s="585">
        <f>SUM('[7]Value Data'!$AJ$102:$AJ$104)/1000</f>
        <v>10.480549999999999</v>
      </c>
      <c r="F37" s="585">
        <f>SUM('[7]Value Data'!$AW$102:$AW$104)/1000</f>
        <v>5.9489999999999998</v>
      </c>
      <c r="G37" s="585">
        <f>(SUM('[7]Value Data'!$AI$102:$AI$104)-SUM('[7]Value Data'!$AJ$102:$AJ$104)-SUM('[7]Value Data'!$AW$102:$AW$104)-SUM('[7]Value Data'!$AZ$102:$AZ$104))/1000</f>
        <v>36.665729999999989</v>
      </c>
      <c r="H37" s="585">
        <f>SUM('[7]Value Data'!$P$102:$P$104)/1000</f>
        <v>52.443220000000004</v>
      </c>
      <c r="I37" s="591">
        <f>SUM('[7]Value Data'!$BC$102:$BC$104)/1000</f>
        <v>0.28225</v>
      </c>
      <c r="J37" s="812">
        <f t="shared" si="27"/>
        <v>-9.4368957093138306E-15</v>
      </c>
      <c r="K37" s="599"/>
    </row>
    <row r="38" spans="1:11" s="592" customFormat="1" ht="15" customHeight="1" x14ac:dyDescent="0.2">
      <c r="A38" s="746" t="s">
        <v>221</v>
      </c>
      <c r="B38" s="602">
        <f t="shared" ref="B38:B39" si="28">SUM(C38:I38)</f>
        <v>263.93358000000001</v>
      </c>
      <c r="C38" s="585">
        <f>SUM('[7]Value Data'!$D$105:$D$107)/1000</f>
        <v>93.077950000000001</v>
      </c>
      <c r="D38" s="585">
        <f>SUM('[7]Value Data'!$AZ$105:$AZ$107)/1000</f>
        <v>9.1416200000000014</v>
      </c>
      <c r="E38" s="585">
        <f>SUM('[7]Value Data'!$AJ$105:$AJ$107)/1000</f>
        <v>14.222340000000003</v>
      </c>
      <c r="F38" s="585">
        <f>SUM('[7]Value Data'!$AW$105:$AW$107)/1000</f>
        <v>77.157929999999993</v>
      </c>
      <c r="G38" s="585">
        <f>(SUM('[7]Value Data'!$AI$105:$AI$107)-SUM('[7]Value Data'!$AJ$105:$AJ$107)-SUM('[7]Value Data'!$AW$105:$AW$107)-SUM('[7]Value Data'!$AZ$105:$AZ$107))/1000</f>
        <v>5.2567000000000208</v>
      </c>
      <c r="H38" s="585">
        <f>SUM('[7]Value Data'!$P$105:$P$107)/1000</f>
        <v>63.877040000000001</v>
      </c>
      <c r="I38" s="591">
        <f>SUM('[7]Value Data'!$BC$105:$BC$107)/1000</f>
        <v>1.2</v>
      </c>
      <c r="J38" s="812">
        <f t="shared" ref="J38:J85" si="29">B38-C38-D38-E38-F38-G38-H38-I38</f>
        <v>9.9920072216264089E-15</v>
      </c>
      <c r="K38" s="599"/>
    </row>
    <row r="39" spans="1:11" s="592" customFormat="1" ht="15" customHeight="1" x14ac:dyDescent="0.2">
      <c r="A39" s="746" t="s">
        <v>222</v>
      </c>
      <c r="B39" s="602">
        <f t="shared" si="28"/>
        <v>609.87750999999992</v>
      </c>
      <c r="C39" s="585">
        <f>SUM('[7]Value Data'!$D$108:$D$110)/1000</f>
        <v>246.87568999999999</v>
      </c>
      <c r="D39" s="585">
        <f>SUM('[7]Value Data'!$AZ$108:$AZ$110)/1000</f>
        <v>26.950080000000003</v>
      </c>
      <c r="E39" s="585">
        <f>SUM('[7]Value Data'!$AJ$108:$AJ$110)/1000</f>
        <v>11.40442</v>
      </c>
      <c r="F39" s="585">
        <f>SUM('[7]Value Data'!$AW$108:$AW$110)/1000</f>
        <v>236.40223999999998</v>
      </c>
      <c r="G39" s="585">
        <f>(SUM('[7]Value Data'!$AI$108:$AI$110)-SUM('[7]Value Data'!$AJ$108:$AJ$110)-SUM('[7]Value Data'!$AW$108:$AW$110)-SUM('[7]Value Data'!$AZ$108:$AZ$110))/1000</f>
        <v>23.600519999999975</v>
      </c>
      <c r="H39" s="585">
        <f>SUM('[7]Value Data'!$P$108:$P$110)/1000</f>
        <v>64.644559999999998</v>
      </c>
      <c r="I39" s="591">
        <f>SUM('[7]Value Data'!$BC$108:$BC$110)/1000</f>
        <v>0</v>
      </c>
      <c r="J39" s="812">
        <f t="shared" si="29"/>
        <v>-2.8421709430404007E-14</v>
      </c>
      <c r="K39" s="599"/>
    </row>
    <row r="40" spans="1:11" s="592" customFormat="1" ht="15" customHeight="1" x14ac:dyDescent="0.2">
      <c r="A40" s="746" t="s">
        <v>223</v>
      </c>
      <c r="B40" s="602">
        <f t="shared" ref="B40" si="30">SUM(C40:I40)</f>
        <v>395.99399</v>
      </c>
      <c r="C40" s="585">
        <f>SUM('[7]Value Data'!$D$111:$D$113)/1000</f>
        <v>207.34520000000001</v>
      </c>
      <c r="D40" s="585">
        <f>SUM('[7]Value Data'!$AZ$111:$AZ$113)/1000</f>
        <v>30.137930000000001</v>
      </c>
      <c r="E40" s="585">
        <f>SUM('[7]Value Data'!$AJ$111:$AJ$113)/1000</f>
        <v>15.27459</v>
      </c>
      <c r="F40" s="585">
        <f>SUM('[7]Value Data'!$AW$111:$AW$113)/1000</f>
        <v>24.860910000000001</v>
      </c>
      <c r="G40" s="585">
        <f>(SUM('[7]Value Data'!$AI$111:$AI$113)-SUM('[7]Value Data'!$AJ$111:$AJ$113)-SUM('[7]Value Data'!$AW$111:$AW$113)-SUM('[7]Value Data'!$AZ$111:$AZ$113))/1000</f>
        <v>18.905659999999997</v>
      </c>
      <c r="H40" s="585">
        <f>SUM('[7]Value Data'!$P$111:$P$113)/1000</f>
        <v>99.469700000000003</v>
      </c>
      <c r="I40" s="591">
        <f>SUM('[7]Value Data'!$BC$111:$BC$113)/1000</f>
        <v>0</v>
      </c>
      <c r="J40" s="812">
        <f t="shared" si="29"/>
        <v>-1.4210854715202004E-14</v>
      </c>
      <c r="K40" s="599"/>
    </row>
    <row r="41" spans="1:11" s="592" customFormat="1" ht="15" customHeight="1" x14ac:dyDescent="0.2">
      <c r="A41" s="746" t="s">
        <v>224</v>
      </c>
      <c r="B41" s="602">
        <f t="shared" ref="B41" si="31">SUM(C41:I41)</f>
        <v>526.00934000000007</v>
      </c>
      <c r="C41" s="585">
        <f>SUM('[7]Value Data'!$D$114:$D$116)/1000</f>
        <v>82.682790000000011</v>
      </c>
      <c r="D41" s="585">
        <f>SUM('[7]Value Data'!$AZ$114:$AZ$116)/1000</f>
        <v>28.711849999999998</v>
      </c>
      <c r="E41" s="585">
        <f>SUM('[7]Value Data'!$AJ$114:$AJ$116)/1000</f>
        <v>9.4821199999999983</v>
      </c>
      <c r="F41" s="585">
        <f>SUM('[7]Value Data'!$AW$114:$AW$116)/1000</f>
        <v>40.425129999999996</v>
      </c>
      <c r="G41" s="585">
        <f>(SUM('[7]Value Data'!$AI$114:$AI$116)-SUM('[7]Value Data'!$AJ$114:$AJ$116)-SUM('[7]Value Data'!$AW$114:$AW$116)-SUM('[7]Value Data'!$AZ$114:$AZ$116))/1000</f>
        <v>15.10088000000002</v>
      </c>
      <c r="H41" s="585">
        <f>SUM('[7]Value Data'!$P$114:$P$116)/1000</f>
        <v>330.88574</v>
      </c>
      <c r="I41" s="591">
        <f>SUM('[7]Value Data'!$BC$114:$BC$116)/1000</f>
        <v>18.720830000000003</v>
      </c>
      <c r="J41" s="812">
        <f t="shared" si="29"/>
        <v>8.8817841970012523E-14</v>
      </c>
      <c r="K41" s="599"/>
    </row>
    <row r="42" spans="1:11" s="592" customFormat="1" ht="15" customHeight="1" x14ac:dyDescent="0.2">
      <c r="A42" s="746" t="s">
        <v>225</v>
      </c>
      <c r="B42" s="602">
        <f t="shared" ref="B42" si="32">SUM(C42:I42)</f>
        <v>186.49039999999999</v>
      </c>
      <c r="C42" s="585">
        <f>SUM('[7]Value Data'!$D$117:$D$119)/1000</f>
        <v>66.823100000000011</v>
      </c>
      <c r="D42" s="585">
        <f>SUM('[7]Value Data'!$AZ$117:$AZ$119)/1000</f>
        <v>4.1829999999999998</v>
      </c>
      <c r="E42" s="585">
        <f>SUM('[7]Value Data'!$AJ$117:$AJ$119)/1000</f>
        <v>12.802</v>
      </c>
      <c r="F42" s="585">
        <f>SUM('[7]Value Data'!$AW$117:$AW$119)/1000</f>
        <v>16.190899999999999</v>
      </c>
      <c r="G42" s="585">
        <f>(SUM('[7]Value Data'!$AI$117:$AI$119)-SUM('[7]Value Data'!$AJ$117:$AJ$119)-SUM('[7]Value Data'!$AW$117:$AW$119)-SUM('[7]Value Data'!$AZ$117:$AZ$119))/1000</f>
        <v>16.626900000000003</v>
      </c>
      <c r="H42" s="585">
        <f>SUM('[7]Value Data'!$P$117:$P$119)/1000</f>
        <v>60.743499999999997</v>
      </c>
      <c r="I42" s="591">
        <f>SUM('[7]Value Data'!$BC$117:$BC$119)/1000</f>
        <v>9.1210000000000004</v>
      </c>
      <c r="J42" s="812">
        <f t="shared" si="29"/>
        <v>0</v>
      </c>
      <c r="K42" s="589"/>
    </row>
    <row r="43" spans="1:11" s="592" customFormat="1" ht="15" customHeight="1" x14ac:dyDescent="0.2">
      <c r="A43" s="746" t="s">
        <v>226</v>
      </c>
      <c r="B43" s="602">
        <f t="shared" ref="B43" si="33">SUM(C43:I43)</f>
        <v>536.20280000000014</v>
      </c>
      <c r="C43" s="585">
        <f>SUM('[7]Value Data'!$D$120:$D$122)/1000</f>
        <v>207.005</v>
      </c>
      <c r="D43" s="585">
        <f>SUM('[7]Value Data'!$AZ$120:$AZ$122)/1000</f>
        <v>18.527999999999999</v>
      </c>
      <c r="E43" s="585">
        <f>SUM('[7]Value Data'!$AJ$120:$AJ$122)/1000</f>
        <v>11.911300000000001</v>
      </c>
      <c r="F43" s="585">
        <f>SUM('[7]Value Data'!$AW$120:$AW$122)/1000</f>
        <v>78.085300000000004</v>
      </c>
      <c r="G43" s="585">
        <f>(SUM('[7]Value Data'!$AI$120:$AI$122)-SUM('[7]Value Data'!$AJ$120:$AJ$122)-SUM('[7]Value Data'!$AW$120:$AW$122)-SUM('[7]Value Data'!$AZ$120:$AZ$122))/1000</f>
        <v>81.80680000000001</v>
      </c>
      <c r="H43" s="585">
        <f>SUM('[7]Value Data'!$P$120:$P$122)/1000</f>
        <v>128.59710000000001</v>
      </c>
      <c r="I43" s="591">
        <f>SUM('[7]Value Data'!$BC$120:$BC$122)/1000</f>
        <v>10.269299999999999</v>
      </c>
      <c r="J43" s="812">
        <f t="shared" si="29"/>
        <v>1.0125233984581428E-13</v>
      </c>
      <c r="K43" s="589"/>
    </row>
    <row r="44" spans="1:11" s="592" customFormat="1" ht="15" customHeight="1" x14ac:dyDescent="0.2">
      <c r="A44" s="746" t="s">
        <v>227</v>
      </c>
      <c r="B44" s="602">
        <f t="shared" ref="B44" si="34">SUM(C44:I44)</f>
        <v>576.25459999999998</v>
      </c>
      <c r="C44" s="585">
        <f>SUM('[7]Value Data'!$D$123:$D$125)/1000</f>
        <v>241.04559999999998</v>
      </c>
      <c r="D44" s="585">
        <f>SUM('[7]Value Data'!$AZ$123:$AZ$125)/1000</f>
        <v>15.8651</v>
      </c>
      <c r="E44" s="585">
        <f>SUM('[7]Value Data'!$AJ$123:$AJ$125)/1000</f>
        <v>14.051399999999999</v>
      </c>
      <c r="F44" s="585">
        <f>SUM('[7]Value Data'!$AW$123:$AW$125)/1000</f>
        <v>99.422700000000006</v>
      </c>
      <c r="G44" s="585">
        <f>(SUM('[7]Value Data'!$AI$123:$AI$125)-SUM('[7]Value Data'!$AJ$123:$AJ$125)-SUM('[7]Value Data'!$AW$123:$AW$125)-SUM('[7]Value Data'!$AZ$123:$AZ$125))/1000</f>
        <v>34.997799999999998</v>
      </c>
      <c r="H44" s="585">
        <f>SUM('[7]Value Data'!$P$123:$P$125)/1000</f>
        <v>159.93810000000002</v>
      </c>
      <c r="I44" s="591">
        <f>SUM('[7]Value Data'!$BC$123:$BC$125)/1000</f>
        <v>10.9339</v>
      </c>
      <c r="J44" s="812">
        <f t="shared" si="29"/>
        <v>0</v>
      </c>
      <c r="K44" s="589"/>
    </row>
    <row r="45" spans="1:11" s="592" customFormat="1" ht="15" customHeight="1" x14ac:dyDescent="0.2">
      <c r="A45" s="746" t="s">
        <v>228</v>
      </c>
      <c r="B45" s="602">
        <f t="shared" ref="B45" si="35">SUM(C45:I45)</f>
        <v>508.46136000000007</v>
      </c>
      <c r="C45" s="585">
        <f>SUM('[7]Value Data'!$D$126:$D$128)/1000</f>
        <v>142.73870000000002</v>
      </c>
      <c r="D45" s="585">
        <f>SUM('[7]Value Data'!$AZ$126:$AZ$128)/1000</f>
        <v>21.077199999999998</v>
      </c>
      <c r="E45" s="585">
        <f>SUM('[7]Value Data'!$AJ$126:$AJ$128)/1000</f>
        <v>11.35619</v>
      </c>
      <c r="F45" s="585">
        <f>SUM('[7]Value Data'!$AW$126:$AW$128)/1000</f>
        <v>135.92060000000001</v>
      </c>
      <c r="G45" s="585">
        <f>(SUM('[7]Value Data'!$AI$126:$AI$128)-SUM('[7]Value Data'!$AJ$126:$AJ$128)-SUM('[7]Value Data'!$AW$126:$AW$128)-SUM('[7]Value Data'!$AZ$126:$AZ$128))/1000</f>
        <v>29.494990000000005</v>
      </c>
      <c r="H45" s="585">
        <f>SUM('[7]Value Data'!$P$126:$P$128)/1000</f>
        <v>153.85628</v>
      </c>
      <c r="I45" s="591">
        <f>SUM('[7]Value Data'!$BC$126:$BC$128)/1000</f>
        <v>14.0174</v>
      </c>
      <c r="J45" s="812">
        <f t="shared" si="29"/>
        <v>-1.9539925233402755E-14</v>
      </c>
      <c r="K45" s="589"/>
    </row>
    <row r="46" spans="1:11" s="592" customFormat="1" ht="15" customHeight="1" x14ac:dyDescent="0.2">
      <c r="A46" s="746" t="s">
        <v>229</v>
      </c>
      <c r="B46" s="602">
        <f t="shared" ref="B46" si="36">SUM(C46:I46)</f>
        <v>459.41082000000006</v>
      </c>
      <c r="C46" s="585">
        <f>SUM('[7]Value Data'!$D$129:$D$131)/1000</f>
        <v>156.36799999999999</v>
      </c>
      <c r="D46" s="585">
        <f>SUM('[7]Value Data'!$AZ$129:$AZ$131)/1000</f>
        <v>21.682199999999998</v>
      </c>
      <c r="E46" s="585">
        <f>SUM('[7]Value Data'!$AJ$129:$AJ$131)/1000</f>
        <v>25.754999999999999</v>
      </c>
      <c r="F46" s="585">
        <f>SUM('[7]Value Data'!$AW$129:$AW$131)/1000</f>
        <v>72.733200000000011</v>
      </c>
      <c r="G46" s="585">
        <f>(SUM('[7]Value Data'!$AI$129:$AI$131)-SUM('[7]Value Data'!$AJ$129:$AJ$131)-SUM('[7]Value Data'!$AW$129:$AW$131)-SUM('[7]Value Data'!$AZ$129:$AZ$131))/1000</f>
        <v>28.244300000000003</v>
      </c>
      <c r="H46" s="585">
        <f>SUM('[7]Value Data'!$P$129:$P$131)/1000</f>
        <v>138.92452000000003</v>
      </c>
      <c r="I46" s="591">
        <f>SUM('[7]Value Data'!$BC$129:$BC$131)/1000</f>
        <v>15.703600000000002</v>
      </c>
      <c r="J46" s="812">
        <f t="shared" si="29"/>
        <v>0</v>
      </c>
      <c r="K46" s="589"/>
    </row>
    <row r="47" spans="1:11" s="592" customFormat="1" ht="15" customHeight="1" x14ac:dyDescent="0.2">
      <c r="A47" s="746" t="s">
        <v>230</v>
      </c>
      <c r="B47" s="602">
        <f t="shared" ref="B47" si="37">SUM(C47:I47)</f>
        <v>453.98244</v>
      </c>
      <c r="C47" s="585">
        <f>SUM('[7]Value Data'!$D$132:$D$134)/1000</f>
        <v>226.26079999999999</v>
      </c>
      <c r="D47" s="585">
        <f>SUM('[7]Value Data'!$AZ$132:$AZ$134)/1000</f>
        <v>18.055499999999999</v>
      </c>
      <c r="E47" s="585">
        <f>SUM('[7]Value Data'!$AJ$132:$AJ$134)/1000</f>
        <v>10.99076</v>
      </c>
      <c r="F47" s="585">
        <f>SUM('[7]Value Data'!$AW$132:$AW$134)/1000</f>
        <v>48.00067</v>
      </c>
      <c r="G47" s="585">
        <f>(SUM('[7]Value Data'!$AI$132:$AI$134)-SUM('[7]Value Data'!$AJ$132:$AJ$134)-SUM('[7]Value Data'!$AW$132:$AW$134)-SUM('[7]Value Data'!$AZ$132:$AZ$134))/1000</f>
        <v>20.042999999999999</v>
      </c>
      <c r="H47" s="585">
        <f>SUM('[7]Value Data'!$P$132:$P$134)/1000</f>
        <v>123.94731</v>
      </c>
      <c r="I47" s="591">
        <f>SUM('[7]Value Data'!$BC$132:$BC$134)/1000</f>
        <v>6.6843999999999992</v>
      </c>
      <c r="J47" s="812">
        <f t="shared" si="29"/>
        <v>0</v>
      </c>
      <c r="K47" s="589"/>
    </row>
    <row r="48" spans="1:11" s="592" customFormat="1" ht="15" customHeight="1" x14ac:dyDescent="0.2">
      <c r="A48" s="746" t="s">
        <v>231</v>
      </c>
      <c r="B48" s="602">
        <f t="shared" ref="B48" si="38">SUM(C48:I48)</f>
        <v>477.70633000000004</v>
      </c>
      <c r="C48" s="585">
        <f>SUM('[7]Value Data'!$D$135:$D$137)/1000</f>
        <v>237.99599999999998</v>
      </c>
      <c r="D48" s="585">
        <f>SUM('[7]Value Data'!$AZ$135:$AZ$137)/1000</f>
        <v>15.067299999999999</v>
      </c>
      <c r="E48" s="585">
        <f>SUM('[7]Value Data'!$AJ$135:$AJ$137)/1000</f>
        <v>13.37973</v>
      </c>
      <c r="F48" s="585">
        <f>SUM('[7]Value Data'!$AW$135:$AW$137)/1000</f>
        <v>51.2727</v>
      </c>
      <c r="G48" s="585">
        <f>(SUM('[7]Value Data'!$AI$135:$AI$137)-SUM('[7]Value Data'!$AJ$135:$AJ$137)-SUM('[7]Value Data'!$AW$135:$AW$137)-SUM('[7]Value Data'!$AZ$135:$AZ$137))/1000</f>
        <v>12.952400000000013</v>
      </c>
      <c r="H48" s="585">
        <f>SUM('[7]Value Data'!$P$135:$P$137)/1000</f>
        <v>142.10420000000002</v>
      </c>
      <c r="I48" s="591">
        <f>SUM('[7]Value Data'!$BC$135:$BC$137)/1000</f>
        <v>4.9340000000000002</v>
      </c>
      <c r="J48" s="812">
        <f t="shared" si="29"/>
        <v>5.4178883601707639E-14</v>
      </c>
      <c r="K48" s="589"/>
    </row>
    <row r="49" spans="1:11" s="592" customFormat="1" ht="15" customHeight="1" x14ac:dyDescent="0.2">
      <c r="A49" s="746" t="s">
        <v>232</v>
      </c>
      <c r="B49" s="602">
        <f t="shared" ref="B49" si="39">SUM(C49:I49)</f>
        <v>351.27927</v>
      </c>
      <c r="C49" s="585">
        <f>SUM('[7]Value Data'!$D$138:$D$140)/1000</f>
        <v>134.44800000000001</v>
      </c>
      <c r="D49" s="585">
        <f>SUM('[7]Value Data'!$AZ$138:$AZ$140)/1000</f>
        <v>16.773800000000001</v>
      </c>
      <c r="E49" s="585">
        <f>SUM('[7]Value Data'!$AJ$138:$AJ$140)/1000</f>
        <v>10.60444</v>
      </c>
      <c r="F49" s="585">
        <f>SUM('[7]Value Data'!$AW$138:$AW$140)/1000</f>
        <v>69.152199999999993</v>
      </c>
      <c r="G49" s="585">
        <f>(SUM('[7]Value Data'!$AI$138:$AI$140)-SUM('[7]Value Data'!$AJ$138:$AJ$140)-SUM('[7]Value Data'!$AW$138:$AW$140)-SUM('[7]Value Data'!$AZ$138:$AZ$140))/1000</f>
        <v>12.202300000000003</v>
      </c>
      <c r="H49" s="585">
        <f>SUM('[7]Value Data'!$P$138:$P$140)/1000</f>
        <v>103.86372999999999</v>
      </c>
      <c r="I49" s="591">
        <f>SUM('[7]Value Data'!$BC$138:$BC$140)/1000</f>
        <v>4.234799999999999</v>
      </c>
      <c r="J49" s="812">
        <f t="shared" si="29"/>
        <v>0</v>
      </c>
      <c r="K49" s="589"/>
    </row>
    <row r="50" spans="1:11" s="592" customFormat="1" ht="15" customHeight="1" x14ac:dyDescent="0.2">
      <c r="A50" s="746" t="s">
        <v>233</v>
      </c>
      <c r="B50" s="602">
        <f t="shared" ref="B50" si="40">SUM(C50:I50)</f>
        <v>442.50850000000003</v>
      </c>
      <c r="C50" s="585">
        <f>SUM('[7]Value Data'!$D$141:$D$143)/1000</f>
        <v>212.9667</v>
      </c>
      <c r="D50" s="585">
        <f>SUM('[7]Value Data'!$AZ$141:$AZ$143)/1000</f>
        <v>15.016300000000001</v>
      </c>
      <c r="E50" s="585">
        <f>SUM('[7]Value Data'!$AJ$141:$AJ$143)/1000</f>
        <v>25.087800000000001</v>
      </c>
      <c r="F50" s="585">
        <f>SUM('[7]Value Data'!$AW$141:$AW$143)/1000</f>
        <v>43.362000000000002</v>
      </c>
      <c r="G50" s="585">
        <f>(SUM('[7]Value Data'!$AI$141:$AI$143)-SUM('[7]Value Data'!$AJ$141:$AJ$143)-SUM('[7]Value Data'!$AW$141:$AW$143)-SUM('[7]Value Data'!$AZ$141:$AZ$143))/1000</f>
        <v>27.12029999999999</v>
      </c>
      <c r="H50" s="585">
        <f>SUM('[7]Value Data'!$P$141:$P$143)/1000</f>
        <v>102.71159999999999</v>
      </c>
      <c r="I50" s="591">
        <f>SUM('[7]Value Data'!$BC$141:$BC$143)/1000</f>
        <v>16.2438</v>
      </c>
      <c r="J50" s="812">
        <f t="shared" si="29"/>
        <v>3.5527136788005009E-14</v>
      </c>
      <c r="K50" s="589"/>
    </row>
    <row r="51" spans="1:11" s="592" customFormat="1" ht="15" customHeight="1" x14ac:dyDescent="0.2">
      <c r="A51" s="746" t="s">
        <v>234</v>
      </c>
      <c r="B51" s="602">
        <f t="shared" ref="B51" si="41">SUM(C51:I51)</f>
        <v>455.87226000000004</v>
      </c>
      <c r="C51" s="585">
        <f>SUM('[7]Value Data'!$D$144:$D$146)/1000</f>
        <v>253.46270000000001</v>
      </c>
      <c r="D51" s="585">
        <f>SUM('[7]Value Data'!$AZ$144:$AZ$146)/1000</f>
        <v>19.359299999999994</v>
      </c>
      <c r="E51" s="585">
        <f>SUM('[7]Value Data'!$AJ$144:$AJ$146)/1000</f>
        <v>16.260400000000001</v>
      </c>
      <c r="F51" s="585">
        <f>SUM('[7]Value Data'!$AW$144:$AW$146)/1000</f>
        <v>78.403199999999998</v>
      </c>
      <c r="G51" s="585">
        <f>(SUM('[7]Value Data'!$AI$144:$AI$146)-SUM('[7]Value Data'!$AJ$144:$AJ$146)-SUM('[7]Value Data'!$AW$144:$AW$146)-SUM('[7]Value Data'!$AZ$144:$AZ$146))/1000</f>
        <v>21.392100000000013</v>
      </c>
      <c r="H51" s="585">
        <f>SUM('[7]Value Data'!$P$144:$P$146)/1000</f>
        <v>64.561360000000008</v>
      </c>
      <c r="I51" s="591">
        <f>SUM('[7]Value Data'!$BC$144:$BC$146)/1000</f>
        <v>2.4331999999999998</v>
      </c>
      <c r="J51" s="812">
        <f t="shared" si="29"/>
        <v>1.3766765505351941E-14</v>
      </c>
      <c r="K51" s="589"/>
    </row>
    <row r="52" spans="1:11" s="592" customFormat="1" ht="15" customHeight="1" x14ac:dyDescent="0.2">
      <c r="A52" s="746" t="s">
        <v>235</v>
      </c>
      <c r="B52" s="602">
        <f t="shared" ref="B52" si="42">SUM(C52:I52)</f>
        <v>551.01870000000008</v>
      </c>
      <c r="C52" s="585">
        <f>SUM('[7]Value Data'!$D$147:$D$149)/1000</f>
        <v>276.81910000000005</v>
      </c>
      <c r="D52" s="585">
        <f>SUM('[7]Value Data'!$AZ$147:$AZ$149)/1000</f>
        <v>24.210699999999999</v>
      </c>
      <c r="E52" s="585">
        <f>SUM('[7]Value Data'!$AJ$147:$AJ$149)/1000</f>
        <v>15.455500000000001</v>
      </c>
      <c r="F52" s="585">
        <f>SUM('[7]Value Data'!$AW$147:$AW$149)/1000</f>
        <v>81.921499999999995</v>
      </c>
      <c r="G52" s="585">
        <f>(SUM('[7]Value Data'!$AI$147:$AI$149)-SUM('[7]Value Data'!$AJ$147:$AJ$149)-SUM('[7]Value Data'!$AW$147:$AW$149)-SUM('[7]Value Data'!$AZ$147:$AZ$149))/1000</f>
        <v>18.090000000000011</v>
      </c>
      <c r="H52" s="585">
        <f>SUM('[7]Value Data'!$P$147:$P$149)/1000</f>
        <v>132.85252</v>
      </c>
      <c r="I52" s="591">
        <f>SUM('[7]Value Data'!$BC$147:$BC$149)/1000</f>
        <v>1.6693800000000001</v>
      </c>
      <c r="J52" s="812">
        <f t="shared" si="29"/>
        <v>4.6407322429331543E-14</v>
      </c>
      <c r="K52" s="589"/>
    </row>
    <row r="53" spans="1:11" s="592" customFormat="1" ht="15" customHeight="1" x14ac:dyDescent="0.2">
      <c r="A53" s="746" t="s">
        <v>236</v>
      </c>
      <c r="B53" s="602">
        <f t="shared" ref="B53" si="43">SUM(C53:I53)</f>
        <v>537.31979999999999</v>
      </c>
      <c r="C53" s="585">
        <f>SUM('[7]Value Data'!$D$150:$D$152)/1000</f>
        <v>163.97640000000001</v>
      </c>
      <c r="D53" s="585">
        <f>SUM('[7]Value Data'!$AZ$150:$AZ$152)/1000</f>
        <v>37.482700000000001</v>
      </c>
      <c r="E53" s="585">
        <f>SUM('[7]Value Data'!$AJ$150:$AJ$152)/1000</f>
        <v>10.625900000000001</v>
      </c>
      <c r="F53" s="585">
        <f>SUM('[7]Value Data'!$AW$150:$AW$152)/1000</f>
        <v>182.14339999999999</v>
      </c>
      <c r="G53" s="585">
        <f>(SUM('[7]Value Data'!$AI$150:$AI$152)-SUM('[7]Value Data'!$AJ$150:$AJ$152)-SUM('[7]Value Data'!$AW$150:$AW$152)-SUM('[7]Value Data'!$AZ$150:$AZ$152))/1000</f>
        <v>15.241299999999995</v>
      </c>
      <c r="H53" s="585">
        <f>SUM('[7]Value Data'!$P$150:$P$152)/1000</f>
        <v>123.46019999999999</v>
      </c>
      <c r="I53" s="591">
        <f>SUM('[7]Value Data'!$BC$150:$BC$152)/1000</f>
        <v>4.3898999999999999</v>
      </c>
      <c r="J53" s="812">
        <f t="shared" si="29"/>
        <v>-1.6875389974302379E-14</v>
      </c>
      <c r="K53" s="589"/>
    </row>
    <row r="54" spans="1:11" s="592" customFormat="1" ht="15" customHeight="1" x14ac:dyDescent="0.2">
      <c r="A54" s="746" t="s">
        <v>237</v>
      </c>
      <c r="B54" s="602">
        <f t="shared" ref="B54" si="44">SUM(C54:I54)</f>
        <v>544.35856999999999</v>
      </c>
      <c r="C54" s="585">
        <f>SUM('[7]Value Data'!$D$153:$D$155)/1000</f>
        <v>268.16030000000001</v>
      </c>
      <c r="D54" s="585">
        <f>SUM('[7]Value Data'!$AZ$153:$AZ$155)/1000</f>
        <v>35.442300000000003</v>
      </c>
      <c r="E54" s="585">
        <f>SUM('[7]Value Data'!$AJ$153:$AJ$155)/1000</f>
        <v>22.979500000000002</v>
      </c>
      <c r="F54" s="585">
        <f>SUM('[7]Value Data'!$AW$153:$AW$155)/1000</f>
        <v>72.390799999999984</v>
      </c>
      <c r="G54" s="585">
        <f>(SUM('[7]Value Data'!$AI$153:$AI$155)-SUM('[7]Value Data'!$AJ$153:$AJ$155)-SUM('[7]Value Data'!$AW$153:$AW$155)-SUM('[7]Value Data'!$AZ$153:$AZ$155))/1000</f>
        <v>10.677000000000014</v>
      </c>
      <c r="H54" s="585">
        <f>SUM('[7]Value Data'!$P$153:$P$155)/1000</f>
        <v>122.95367000000002</v>
      </c>
      <c r="I54" s="591">
        <f>SUM('[7]Value Data'!$BC$153:$BC$155)/1000</f>
        <v>11.755000000000001</v>
      </c>
      <c r="J54" s="812">
        <f t="shared" si="29"/>
        <v>-3.3750779948604759E-14</v>
      </c>
      <c r="K54" s="589"/>
    </row>
    <row r="55" spans="1:11" s="592" customFormat="1" ht="15" customHeight="1" x14ac:dyDescent="0.2">
      <c r="A55" s="746" t="s">
        <v>238</v>
      </c>
      <c r="B55" s="602">
        <f t="shared" ref="B55" si="45">SUM(C55:I55)</f>
        <v>543.26349000000005</v>
      </c>
      <c r="C55" s="585">
        <f>SUM('[7]Value Data'!$D$156:$D$158)/1000</f>
        <v>259.21699999999998</v>
      </c>
      <c r="D55" s="585">
        <f>SUM('[7]Value Data'!$AZ$156:$AZ$158)/1000</f>
        <v>43.219199999999994</v>
      </c>
      <c r="E55" s="585">
        <f>SUM('[7]Value Data'!$AJ$156:$AJ$158)/1000</f>
        <v>13.530250000000001</v>
      </c>
      <c r="F55" s="585">
        <f>SUM('[7]Value Data'!$AW$156:$AW$158)/1000</f>
        <v>98.434100000000001</v>
      </c>
      <c r="G55" s="585">
        <f>(SUM('[7]Value Data'!$AI$156:$AI$158)-SUM('[7]Value Data'!$AJ$156:$AJ$158)-SUM('[7]Value Data'!$AW$156:$AW$158)-SUM('[7]Value Data'!$AZ$156:$AZ$158))/1000</f>
        <v>19.383000000000013</v>
      </c>
      <c r="H55" s="585">
        <f>SUM('[7]Value Data'!$P$156:$P$158)/1000</f>
        <v>107.17013999999999</v>
      </c>
      <c r="I55" s="591">
        <f>SUM('[7]Value Data'!$BC$156:$BC$158)/1000</f>
        <v>2.3098000000000001</v>
      </c>
      <c r="J55" s="812">
        <f t="shared" si="29"/>
        <v>6.6613381477509392E-14</v>
      </c>
      <c r="K55" s="589"/>
    </row>
    <row r="56" spans="1:11" s="592" customFormat="1" ht="15" customHeight="1" x14ac:dyDescent="0.2">
      <c r="A56" s="746" t="s">
        <v>239</v>
      </c>
      <c r="B56" s="602">
        <f t="shared" ref="B56" si="46">SUM(C56:I56)</f>
        <v>920.45204999999976</v>
      </c>
      <c r="C56" s="585">
        <f>SUM('[7]Value Data'!$D$159:$D$161)/1000</f>
        <v>387.64272999999997</v>
      </c>
      <c r="D56" s="585">
        <f>SUM('[7]Value Data'!$AZ$159:$AZ$161)/1000</f>
        <v>49.105959999999996</v>
      </c>
      <c r="E56" s="585">
        <f>SUM('[7]Value Data'!$AJ$159:$AJ$161)/1000</f>
        <v>12.56723</v>
      </c>
      <c r="F56" s="585">
        <f>SUM('[7]Value Data'!$AW$159:$AW$161)/1000</f>
        <v>149.85163</v>
      </c>
      <c r="G56" s="585">
        <f>(SUM('[7]Value Data'!$AI$159:$AI$161)-SUM('[7]Value Data'!$AJ$159:$AJ$161)-SUM('[7]Value Data'!$AW$159:$AW$161)-SUM('[7]Value Data'!$AZ$159:$AZ$161))/1000</f>
        <v>11.230699999999976</v>
      </c>
      <c r="H56" s="585">
        <f>SUM('[7]Value Data'!$P$159:$P$161)/1000</f>
        <v>307.32445000000001</v>
      </c>
      <c r="I56" s="591">
        <f>SUM('[7]Value Data'!$BC$159:$BC$161)/1000</f>
        <v>2.7293499999999997</v>
      </c>
      <c r="J56" s="812">
        <f t="shared" si="29"/>
        <v>-1.0258460747536446E-13</v>
      </c>
      <c r="K56" s="589"/>
    </row>
    <row r="57" spans="1:11" ht="15" customHeight="1" x14ac:dyDescent="0.2">
      <c r="A57" s="746" t="s">
        <v>240</v>
      </c>
      <c r="B57" s="602">
        <f t="shared" ref="B57" si="47">SUM(C57:I57)</f>
        <v>349.14711999999992</v>
      </c>
      <c r="C57" s="585">
        <f>SUM('[7]Value Data'!$D$162:$D$164)/1000</f>
        <v>153.15122</v>
      </c>
      <c r="D57" s="585">
        <f>SUM('[7]Value Data'!$AZ$162:$AZ$164)/1000</f>
        <v>32.616459999999996</v>
      </c>
      <c r="E57" s="585">
        <f>SUM('[7]Value Data'!$AJ$162:$AJ$164)/1000</f>
        <v>7.1692999999999989</v>
      </c>
      <c r="F57" s="585">
        <f>SUM('[7]Value Data'!$AW$162:$AW$164)/1000</f>
        <v>35.682209999999998</v>
      </c>
      <c r="G57" s="585">
        <f>(SUM('[7]Value Data'!$AI$162:$AI$164)-SUM('[7]Value Data'!$AJ$162:$AJ$164)-SUM('[7]Value Data'!$AW$162:$AW$164)-SUM('[7]Value Data'!$AZ$162:$AZ$164))/1000</f>
        <v>33.957639999999977</v>
      </c>
      <c r="H57" s="585">
        <f>SUM('[7]Value Data'!$P$162:$P$164)/1000</f>
        <v>84.237809999999996</v>
      </c>
      <c r="I57" s="591">
        <f>SUM('[7]Value Data'!$BC$162:$BC$164)/1000</f>
        <v>2.3324799999999999</v>
      </c>
      <c r="J57" s="812">
        <f t="shared" si="29"/>
        <v>-2.4424906541753444E-14</v>
      </c>
    </row>
    <row r="58" spans="1:11" ht="15" customHeight="1" x14ac:dyDescent="0.2">
      <c r="A58" s="746" t="s">
        <v>241</v>
      </c>
      <c r="B58" s="602">
        <f t="shared" ref="B58" si="48">SUM(C58:I58)</f>
        <v>80.747129999999999</v>
      </c>
      <c r="C58" s="585">
        <f>SUM('[7]Value Data'!$D$165:$D$167)/1000</f>
        <v>17.899489999999997</v>
      </c>
      <c r="D58" s="585">
        <f>SUM('[7]Value Data'!$AZ$165:$AZ$167)/1000</f>
        <v>6.8958000000000004</v>
      </c>
      <c r="E58" s="585">
        <f>SUM('[7]Value Data'!$AJ$165:$AJ$167)/1000</f>
        <v>5.8632799999999996</v>
      </c>
      <c r="F58" s="585">
        <f>SUM('[7]Value Data'!$AW$165:$AW$167)/1000</f>
        <v>8.4451300000000007</v>
      </c>
      <c r="G58" s="585">
        <f>(SUM('[7]Value Data'!$AI$165:$AI$167)-SUM('[7]Value Data'!$AJ$165:$AJ$167)-SUM('[7]Value Data'!$AW$165:$AW$167)-SUM('[7]Value Data'!$AZ$165:$AZ$167))/1000</f>
        <v>12.967010000000002</v>
      </c>
      <c r="H58" s="585">
        <f>SUM('[7]Value Data'!$P$165:$P$167)/1000</f>
        <v>27.255790000000001</v>
      </c>
      <c r="I58" s="591">
        <f>SUM('[7]Value Data'!$BC$165:$BC$167)/1000</f>
        <v>1.4206300000000001</v>
      </c>
      <c r="J58" s="812">
        <f t="shared" si="29"/>
        <v>0</v>
      </c>
    </row>
    <row r="59" spans="1:11" ht="15" customHeight="1" x14ac:dyDescent="0.2">
      <c r="A59" s="746" t="s">
        <v>242</v>
      </c>
      <c r="B59" s="602">
        <f t="shared" ref="B59" si="49">SUM(C59:I59)</f>
        <v>234.51236999999998</v>
      </c>
      <c r="C59" s="585">
        <f>SUM('[7]Value Data'!$D$168:$D$170)/1000</f>
        <v>79.611449999999991</v>
      </c>
      <c r="D59" s="585">
        <f>SUM('[7]Value Data'!$AZ$168:$AZ$170)/1000</f>
        <v>27.079470000000001</v>
      </c>
      <c r="E59" s="585">
        <f>SUM('[7]Value Data'!$AJ$168:$AJ$170)/1000</f>
        <v>9.6368299999999998</v>
      </c>
      <c r="F59" s="585">
        <f>SUM('[7]Value Data'!$AW$168:$AW$170)/1000</f>
        <v>30.06155</v>
      </c>
      <c r="G59" s="585">
        <f>(SUM('[7]Value Data'!$AI$168:$AI$170)-SUM('[7]Value Data'!$AJ$168:$AJ$170)-SUM('[7]Value Data'!$AW$168:$AW$170)-SUM('[7]Value Data'!$AZ$168:$AZ$170))/1000</f>
        <v>20.15578</v>
      </c>
      <c r="H59" s="585">
        <f>SUM('[7]Value Data'!$P$168:$P$170)/1000</f>
        <v>65.785579999999982</v>
      </c>
      <c r="I59" s="591">
        <f>SUM('[7]Value Data'!$BC$168:$BC$170)/1000</f>
        <v>2.1817099999999998</v>
      </c>
      <c r="J59" s="812">
        <f t="shared" si="29"/>
        <v>9.7699626167013776E-15</v>
      </c>
    </row>
    <row r="60" spans="1:11" ht="15" customHeight="1" x14ac:dyDescent="0.2">
      <c r="A60" s="746" t="s">
        <v>243</v>
      </c>
      <c r="B60" s="602">
        <f t="shared" ref="B60" si="50">SUM(C60:I60)</f>
        <v>325.87810999999994</v>
      </c>
      <c r="C60" s="585">
        <f>SUM('[7]Value Data'!$D$171:$D$173)/1000</f>
        <v>120.97404999999999</v>
      </c>
      <c r="D60" s="585">
        <f>SUM('[7]Value Data'!$AZ$171:$AZ$173)/1000</f>
        <v>6.0320900000000002</v>
      </c>
      <c r="E60" s="585">
        <f>SUM('[7]Value Data'!$AJ$171:$AJ$173)/1000</f>
        <v>10.643330000000002</v>
      </c>
      <c r="F60" s="585">
        <f>SUM('[7]Value Data'!$AW$171:$AW$173)/1000</f>
        <v>32.2209</v>
      </c>
      <c r="G60" s="585">
        <f>(SUM('[7]Value Data'!$AI$171:$AI$173)-SUM('[7]Value Data'!$AJ$171:$AJ$173)-SUM('[7]Value Data'!$AW$171:$AW$173)-SUM('[7]Value Data'!$AZ$171:$AZ$173))/1000</f>
        <v>9.9080300000000019</v>
      </c>
      <c r="H60" s="585">
        <f>SUM('[7]Value Data'!$P$171:$P$173)/1000</f>
        <v>144.05771000000001</v>
      </c>
      <c r="I60" s="591">
        <f>SUM('[7]Value Data'!$BC$171:$BC$173)/1000</f>
        <v>2.0419999999999998</v>
      </c>
      <c r="J60" s="812">
        <f t="shared" si="29"/>
        <v>-5.5067062021407764E-14</v>
      </c>
    </row>
    <row r="61" spans="1:11" ht="15" customHeight="1" x14ac:dyDescent="0.2">
      <c r="A61" s="746" t="s">
        <v>244</v>
      </c>
      <c r="B61" s="602">
        <f t="shared" ref="B61" si="51">SUM(C61:I61)</f>
        <v>446.35779999999994</v>
      </c>
      <c r="C61" s="585">
        <f>SUM('[7]Value Data'!$D$174:$D$176)/1000</f>
        <v>80.832059999999998</v>
      </c>
      <c r="D61" s="585">
        <f>SUM('[7]Value Data'!$AZ$174:$AZ$176)/1000</f>
        <v>46.559779999999996</v>
      </c>
      <c r="E61" s="585">
        <f>SUM('[7]Value Data'!$AJ$174:$AJ$176)/1000</f>
        <v>58.604789999999994</v>
      </c>
      <c r="F61" s="585">
        <f>SUM('[7]Value Data'!$AW$174:$AW$176)/1000</f>
        <v>138.45722999999998</v>
      </c>
      <c r="G61" s="585">
        <f>(SUM('[7]Value Data'!$AI$174:$AI$176)-SUM('[7]Value Data'!$AJ$174:$AJ$176)-SUM('[7]Value Data'!$AW$174:$AW$176)-SUM('[7]Value Data'!$AZ$174:$AZ$176))/1000</f>
        <v>43.563940000000031</v>
      </c>
      <c r="H61" s="585">
        <f>SUM('[7]Value Data'!$P$174:$P$176)/1000</f>
        <v>78.079619999999991</v>
      </c>
      <c r="I61" s="591">
        <f>SUM('[7]Value Data'!$BC$174:$BC$176)/1000</f>
        <v>0.26038</v>
      </c>
      <c r="J61" s="812">
        <f t="shared" si="29"/>
        <v>-4.4797499043625066E-14</v>
      </c>
    </row>
    <row r="62" spans="1:11" ht="15" customHeight="1" x14ac:dyDescent="0.2">
      <c r="A62" s="746" t="s">
        <v>245</v>
      </c>
      <c r="B62" s="602">
        <f t="shared" ref="B62" si="52">SUM(C62:I62)</f>
        <v>1773.1002100000001</v>
      </c>
      <c r="C62" s="585">
        <f>SUM('[7]Value Data'!$D$177:$D$179)/1000</f>
        <v>942.70236</v>
      </c>
      <c r="D62" s="585">
        <f>SUM('[7]Value Data'!$AZ$177:$AZ$179)/1000</f>
        <v>129.96775</v>
      </c>
      <c r="E62" s="585">
        <f>SUM('[7]Value Data'!$AJ$177:$AJ$179)/1000</f>
        <v>68.362479999999991</v>
      </c>
      <c r="F62" s="585">
        <f>SUM('[7]Value Data'!$AW$177:$AW$179)/1000</f>
        <v>562.7319399999999</v>
      </c>
      <c r="G62" s="585">
        <f>(SUM('[7]Value Data'!$AI$177:$AI$179)-SUM('[7]Value Data'!$AJ$177:$AJ$179)-SUM('[7]Value Data'!$AW$177:$AW$179)-SUM('[7]Value Data'!$AZ$177:$AZ$179))/1000</f>
        <v>21.544430000000169</v>
      </c>
      <c r="H62" s="585">
        <f>SUM('[7]Value Data'!$P$177:$P$179)/1000</f>
        <v>47.561</v>
      </c>
      <c r="I62" s="591">
        <f>SUM('[7]Value Data'!$BC$177:$BC$179)/1000</f>
        <v>0.23025000000000001</v>
      </c>
      <c r="J62" s="812">
        <f t="shared" si="29"/>
        <v>-3.0364599723498031E-14</v>
      </c>
    </row>
    <row r="63" spans="1:11" ht="15" customHeight="1" x14ac:dyDescent="0.2">
      <c r="A63" s="746" t="s">
        <v>246</v>
      </c>
      <c r="B63" s="602">
        <f t="shared" ref="B63" si="53">SUM(C63:I63)</f>
        <v>242.06132000000002</v>
      </c>
      <c r="C63" s="585">
        <f>SUM('[7]Value Data'!$D$180:$D$182)/1000</f>
        <v>62.49</v>
      </c>
      <c r="D63" s="585">
        <f>SUM('[7]Value Data'!$AZ$180:$AZ$182)/1000</f>
        <v>15.267479999999999</v>
      </c>
      <c r="E63" s="585">
        <f>SUM('[7]Value Data'!$AJ$180:$AJ$182)/1000</f>
        <v>5.6788699999999999</v>
      </c>
      <c r="F63" s="585">
        <f>SUM('[7]Value Data'!$AW$180:$AW$182)/1000</f>
        <v>66.016460000000009</v>
      </c>
      <c r="G63" s="585">
        <f>(SUM('[7]Value Data'!$AI$180:$AI$182)-SUM('[7]Value Data'!$AJ$180:$AJ$182)-SUM('[7]Value Data'!$AW$180:$AW$182)-SUM('[7]Value Data'!$AZ$180:$AZ$182))/1000</f>
        <v>11.33013</v>
      </c>
      <c r="H63" s="585">
        <f>SUM('[7]Value Data'!$P$180:$P$182)/1000</f>
        <v>80.101939999999999</v>
      </c>
      <c r="I63" s="591">
        <f>SUM('[7]Value Data'!$BC$180:$BC$182)/1000</f>
        <v>1.1764400000000002</v>
      </c>
      <c r="J63" s="812">
        <f t="shared" si="29"/>
        <v>1.354472090042691E-14</v>
      </c>
    </row>
    <row r="64" spans="1:11" ht="15" customHeight="1" x14ac:dyDescent="0.2">
      <c r="A64" s="746" t="s">
        <v>247</v>
      </c>
      <c r="B64" s="602">
        <f t="shared" ref="B64" si="54">SUM(C64:I64)</f>
        <v>318.86502000000002</v>
      </c>
      <c r="C64" s="585">
        <f>SUM('[7]Value Data'!$D$183:$D$185)/1000</f>
        <v>55.215339999999998</v>
      </c>
      <c r="D64" s="585">
        <f>SUM('[7]Value Data'!$AZ$183:$AZ$185)/1000</f>
        <v>17.618779999999997</v>
      </c>
      <c r="E64" s="585">
        <f>SUM('[7]Value Data'!$AJ$183:$AJ$185)/1000</f>
        <v>7.1666699999999999</v>
      </c>
      <c r="F64" s="585">
        <f>SUM('[7]Value Data'!$AW$183:$AW$185)/1000</f>
        <v>120.47256999999999</v>
      </c>
      <c r="G64" s="585">
        <f>(SUM('[7]Value Data'!$AI$183:$AI$185)-SUM('[7]Value Data'!$AJ$183:$AJ$185)-SUM('[7]Value Data'!$AW$183:$AW$185)-SUM('[7]Value Data'!$AZ$183:$AZ$185))/1000</f>
        <v>16.595009999999995</v>
      </c>
      <c r="H64" s="585">
        <f>SUM('[7]Value Data'!$P$183:$P$185)/1000</f>
        <v>101.1699</v>
      </c>
      <c r="I64" s="591">
        <f>SUM('[7]Value Data'!$BC$183:$BC$185)/1000</f>
        <v>0.62675000000000003</v>
      </c>
      <c r="J64" s="812">
        <f t="shared" si="29"/>
        <v>1.2212453270876722E-15</v>
      </c>
    </row>
    <row r="65" spans="1:10" ht="15" customHeight="1" x14ac:dyDescent="0.2">
      <c r="A65" s="746" t="s">
        <v>248</v>
      </c>
      <c r="B65" s="602">
        <f t="shared" ref="B65" si="55">SUM(C65:I65)</f>
        <v>385.73467000000005</v>
      </c>
      <c r="C65" s="585">
        <f>SUM('[7]Value Data'!$D$186:$D$188)/1000</f>
        <v>91.315360000000013</v>
      </c>
      <c r="D65" s="585">
        <f>SUM('[7]Value Data'!$AZ$186:$AZ$188)/1000</f>
        <v>14.242370000000001</v>
      </c>
      <c r="E65" s="585">
        <f>SUM('[7]Value Data'!$AJ$186:$AJ$188)/1000</f>
        <v>6.3241299999999994</v>
      </c>
      <c r="F65" s="585">
        <f>SUM('[7]Value Data'!$AW$186:$AW$188)/1000</f>
        <v>178.40067000000002</v>
      </c>
      <c r="G65" s="585">
        <f>(SUM('[7]Value Data'!$AI$186:$AI$188)-SUM('[7]Value Data'!$AJ$186:$AJ$188)-SUM('[7]Value Data'!$AW$186:$AW$188)-SUM('[7]Value Data'!$AZ$186:$AZ$188))/1000</f>
        <v>36.962069999999969</v>
      </c>
      <c r="H65" s="585">
        <f>SUM('[7]Value Data'!$P$186:$P$188)/1000</f>
        <v>55.645130000000002</v>
      </c>
      <c r="I65" s="591">
        <f>SUM('[7]Value Data'!$BC$186:$BC$188)/1000</f>
        <v>2.8449400000000002</v>
      </c>
      <c r="J65" s="812">
        <f t="shared" si="29"/>
        <v>4.3520742565306136E-14</v>
      </c>
    </row>
    <row r="66" spans="1:10" ht="15" customHeight="1" x14ac:dyDescent="0.2">
      <c r="A66" s="746" t="s">
        <v>249</v>
      </c>
      <c r="B66" s="602">
        <f t="shared" ref="B66:B85" si="56">SUM(C66:I66)</f>
        <v>467.58932000000004</v>
      </c>
      <c r="C66" s="602">
        <f>SUM('[7]Value Data'!$D$189:$D$191)/1000</f>
        <v>78.910920000000004</v>
      </c>
      <c r="D66" s="602">
        <f>SUM('[7]Value Data'!$AZ$189:$AZ$191)/1000</f>
        <v>22.85689</v>
      </c>
      <c r="E66" s="602">
        <f>SUM('[7]Value Data'!$AJ$189:$AJ$191)/1000</f>
        <v>10.886299999999999</v>
      </c>
      <c r="F66" s="585">
        <f>SUM('[7]Value Data'!$AW$189:$AW$191)/1000</f>
        <v>171.83866</v>
      </c>
      <c r="G66" s="602">
        <f>(SUM('[7]Value Data'!$AI$189:$AI$191)-SUM('[7]Value Data'!$AJ$189:$AJ$191)-SUM('[7]Value Data'!$AW$189:$AW$191)-SUM('[7]Value Data'!$AZ$189:$AZ$191))/1000</f>
        <v>20.504720000000017</v>
      </c>
      <c r="H66" s="602">
        <f>SUM('[7]Value Data'!$P$189:$P$191)/1000</f>
        <v>156.35593</v>
      </c>
      <c r="I66" s="624">
        <f>SUM('[7]Value Data'!$BC$189:$BC$191)/1000</f>
        <v>6.2359</v>
      </c>
      <c r="J66" s="812">
        <f t="shared" si="29"/>
        <v>-4.1744385725905886E-14</v>
      </c>
    </row>
    <row r="67" spans="1:10" ht="15" customHeight="1" x14ac:dyDescent="0.2">
      <c r="A67" s="746" t="s">
        <v>250</v>
      </c>
      <c r="B67" s="602">
        <f t="shared" si="56"/>
        <v>460.62001000000004</v>
      </c>
      <c r="C67" s="602">
        <f>SUM('[7]Value Data'!$D$192:$D$194)/1000</f>
        <v>102.17888000000001</v>
      </c>
      <c r="D67" s="602">
        <f>SUM('[7]Value Data'!$AZ$192:$AZ$194)/1000</f>
        <v>19.50488</v>
      </c>
      <c r="E67" s="602">
        <f>SUM('[7]Value Data'!$AJ$192:$AJ$194)/1000</f>
        <v>9.6553599999999999</v>
      </c>
      <c r="F67" s="585">
        <f>SUM('[7]Value Data'!$AW$192:$AW$194)/1000</f>
        <v>165.39879000000002</v>
      </c>
      <c r="G67" s="602">
        <f>(SUM('[7]Value Data'!$AI$192:$AI$194)-SUM('[7]Value Data'!$AJ$192:$AJ$194)-SUM('[7]Value Data'!$AW$192:$AW$194)-SUM('[7]Value Data'!$AZ$192:$AZ$194))/1000</f>
        <v>10.940970000000005</v>
      </c>
      <c r="H67" s="602">
        <f>SUM('[7]Value Data'!$P$192:$P$194)/1000</f>
        <v>147.2389</v>
      </c>
      <c r="I67" s="624">
        <f>SUM('[7]Value Data'!$BC$192:$BC$194)/1000</f>
        <v>5.7022299999999992</v>
      </c>
      <c r="J67" s="812">
        <f t="shared" si="29"/>
        <v>4.3520742565306136E-14</v>
      </c>
    </row>
    <row r="68" spans="1:10" ht="15" customHeight="1" x14ac:dyDescent="0.2">
      <c r="A68" s="746" t="s">
        <v>251</v>
      </c>
      <c r="B68" s="602">
        <f t="shared" si="56"/>
        <v>560.79071999999996</v>
      </c>
      <c r="C68" s="602">
        <f>SUM('[7]Value Data'!$D$195:$D$197)/1000</f>
        <v>199.30779999999999</v>
      </c>
      <c r="D68" s="602">
        <f>SUM('[7]Value Data'!$AZ$195:$AZ$197)/1000</f>
        <v>28.788340000000005</v>
      </c>
      <c r="E68" s="602">
        <f>SUM('[7]Value Data'!$AJ$195:$AJ$197)/1000</f>
        <v>5.4826199999999998</v>
      </c>
      <c r="F68" s="585">
        <f>SUM('[7]Value Data'!$AW$195:$AW$197)/1000</f>
        <v>143.92131000000001</v>
      </c>
      <c r="G68" s="602">
        <f>(SUM('[7]Value Data'!$AI$195:$AI$197)-SUM('[7]Value Data'!$AJ$195:$AJ$197)-SUM('[7]Value Data'!$AW$195:$AW$197)-SUM('[7]Value Data'!$AZ$195:$AZ$197))/1000</f>
        <v>14.68030000000001</v>
      </c>
      <c r="H68" s="602">
        <f>SUM('[7]Value Data'!$P$195:$P$197)/1000</f>
        <v>165.47522999999998</v>
      </c>
      <c r="I68" s="624">
        <f>SUM('[7]Value Data'!$BC$195:$BC$197)/1000</f>
        <v>3.1351199999999997</v>
      </c>
      <c r="J68" s="812">
        <f t="shared" si="29"/>
        <v>-2.7533531010703882E-14</v>
      </c>
    </row>
    <row r="69" spans="1:10" ht="15" customHeight="1" x14ac:dyDescent="0.2">
      <c r="A69" s="746" t="s">
        <v>252</v>
      </c>
      <c r="B69" s="602">
        <f t="shared" si="56"/>
        <v>2146.0828000000001</v>
      </c>
      <c r="C69" s="602">
        <f>SUM('[7]Value Data'!$D$198:$D$200)/1000</f>
        <v>703.79705000000001</v>
      </c>
      <c r="D69" s="602">
        <f>SUM('[7]Value Data'!$AZ$198:$AZ$200)/1000</f>
        <v>56.270150000000001</v>
      </c>
      <c r="E69" s="602">
        <f>SUM('[7]Value Data'!$AJ$198:$AJ$200)/1000</f>
        <v>21.897410000000001</v>
      </c>
      <c r="F69" s="585">
        <f>SUM('[7]Value Data'!$AW$198:$AW$200)/1000</f>
        <v>706.30254000000002</v>
      </c>
      <c r="G69" s="602">
        <f>(SUM('[7]Value Data'!$AI$198:$AI$200)-SUM('[7]Value Data'!$AJ$198:$AJ$200)-SUM('[7]Value Data'!$AW$198:$AW$200)-SUM('[7]Value Data'!$AZ$198:$AZ$200))/1000</f>
        <v>304.96257999999995</v>
      </c>
      <c r="H69" s="602">
        <f>SUM('[7]Value Data'!$P$198:$P$200)/1000</f>
        <v>343.83481999999992</v>
      </c>
      <c r="I69" s="624">
        <f>SUM('[7]Value Data'!$BC$198:$BC$200)/1000</f>
        <v>9.0182500000000001</v>
      </c>
      <c r="J69" s="812">
        <f t="shared" si="29"/>
        <v>2.3092638912203256E-14</v>
      </c>
    </row>
    <row r="70" spans="1:10" ht="15" customHeight="1" x14ac:dyDescent="0.2">
      <c r="A70" s="746" t="s">
        <v>253</v>
      </c>
      <c r="B70" s="602">
        <f t="shared" si="56"/>
        <v>1426.4376899999997</v>
      </c>
      <c r="C70" s="602">
        <f>SUM('[7]Value Data'!$D$201:$D$203)/1000</f>
        <v>641.16801999999996</v>
      </c>
      <c r="D70" s="602">
        <f>SUM('[7]Value Data'!$AZ$201:$AZ$203)/1000</f>
        <v>54.919730000000001</v>
      </c>
      <c r="E70" s="602">
        <f>SUM('[7]Value Data'!$AJ$201:$AJ$203)/1000</f>
        <v>34.609410000000004</v>
      </c>
      <c r="F70" s="602">
        <f>SUM('[7]Value Data'!$AW$201:$AW$203)/1000</f>
        <v>338.52703000000002</v>
      </c>
      <c r="G70" s="602">
        <f>(SUM('[7]Value Data'!$AI$201:$AI$203)-SUM('[7]Value Data'!$AJ$201:$AJ$203)-SUM('[7]Value Data'!$AW$201:$AW$203)-SUM('[7]Value Data'!$AZ$201:$AZ$203))/1000</f>
        <v>65.252679999999913</v>
      </c>
      <c r="H70" s="602">
        <f>SUM('[7]Value Data'!$P$201:$P$203)/1000</f>
        <v>274.54582000000005</v>
      </c>
      <c r="I70" s="624">
        <f>SUM('[7]Value Data'!$BC$201:$BC$203)/1000</f>
        <v>17.414999999999999</v>
      </c>
      <c r="J70" s="812">
        <f t="shared" si="29"/>
        <v>-1.4921397450962104E-13</v>
      </c>
    </row>
    <row r="71" spans="1:10" ht="15" customHeight="1" x14ac:dyDescent="0.2">
      <c r="A71" s="746" t="s">
        <v>254</v>
      </c>
      <c r="B71" s="602">
        <f t="shared" si="56"/>
        <v>1173.7359799999999</v>
      </c>
      <c r="C71" s="602">
        <f>SUM('[7]Value Data'!$D$204:$D$206)/1000</f>
        <v>520.01693</v>
      </c>
      <c r="D71" s="602">
        <f>SUM('[7]Value Data'!$AZ$204:$AZ$206)/1000</f>
        <v>61.101900000000001</v>
      </c>
      <c r="E71" s="602">
        <f>SUM('[7]Value Data'!$AJ$204:$AJ$206)/1000</f>
        <v>25.080949999999998</v>
      </c>
      <c r="F71" s="602">
        <f>SUM('[7]Value Data'!$AW$204:$AW$206)/1000</f>
        <v>170.07389999999998</v>
      </c>
      <c r="G71" s="602">
        <f>(SUM('[7]Value Data'!$AI$204:$AI$206)-SUM('[7]Value Data'!$AJ$204:$AJ$206)-SUM('[7]Value Data'!$AW$204:$AW$206)-SUM('[7]Value Data'!$AZ$204:$AZ$206))/1000</f>
        <v>46.72007</v>
      </c>
      <c r="H71" s="602">
        <f>SUM('[7]Value Data'!$P$204:$P$206)/1000</f>
        <v>330.28042999999997</v>
      </c>
      <c r="I71" s="624">
        <f>SUM('[7]Value Data'!$BC$204:$BC$206)/1000</f>
        <v>20.4618</v>
      </c>
      <c r="J71" s="812">
        <f t="shared" si="29"/>
        <v>-7.460698725481052E-14</v>
      </c>
    </row>
    <row r="72" spans="1:10" ht="15" customHeight="1" x14ac:dyDescent="0.2">
      <c r="A72" s="746" t="s">
        <v>255</v>
      </c>
      <c r="B72" s="602">
        <f t="shared" si="56"/>
        <v>871.12414000000001</v>
      </c>
      <c r="C72" s="602">
        <f>SUM('[7]Value Data'!$D$207:$D$209)/1000</f>
        <v>293.964</v>
      </c>
      <c r="D72" s="602">
        <f>SUM('[7]Value Data'!$AZ$207:$AZ$209)/1000</f>
        <v>48.06561</v>
      </c>
      <c r="E72" s="602">
        <f>SUM('[7]Value Data'!$AJ$207:$AJ$209)/1000</f>
        <v>32.15992</v>
      </c>
      <c r="F72" s="602">
        <f>SUM('[7]Value Data'!$AW$207:$AW$209)/1000</f>
        <v>126.80899000000002</v>
      </c>
      <c r="G72" s="602">
        <f>(SUM('[7]Value Data'!$AI$207:$AI$209)-SUM('[7]Value Data'!$AJ$207:$AJ$209)-SUM('[7]Value Data'!$AW$207:$AW$209)-SUM('[7]Value Data'!$AZ$207:$AZ$209))/1000</f>
        <v>41.351249999999986</v>
      </c>
      <c r="H72" s="602">
        <f>SUM('[7]Value Data'!$P$207:$P$209)/1000</f>
        <v>320.71903000000003</v>
      </c>
      <c r="I72" s="624">
        <f>SUM('[7]Value Data'!$BC$207:$BC$209)/1000</f>
        <v>8.0553399999999993</v>
      </c>
      <c r="J72" s="812">
        <f t="shared" si="29"/>
        <v>-1.1191048088221578E-13</v>
      </c>
    </row>
    <row r="73" spans="1:10" ht="15" customHeight="1" x14ac:dyDescent="0.2">
      <c r="A73" s="746" t="s">
        <v>256</v>
      </c>
      <c r="B73" s="602">
        <f t="shared" si="56"/>
        <v>887.94764999999995</v>
      </c>
      <c r="C73" s="602">
        <f>SUM('[7]Value Data'!$D$210:$D$212)/1000</f>
        <v>224.86986999999999</v>
      </c>
      <c r="D73" s="602">
        <f>SUM('[7]Value Data'!$AZ$210:$AZ$212)/1000</f>
        <v>54.86242</v>
      </c>
      <c r="E73" s="602">
        <f>SUM('[7]Value Data'!$AJ$210:$AJ$212)/1000</f>
        <v>19.138870000000001</v>
      </c>
      <c r="F73" s="602">
        <f>SUM('[7]Value Data'!$AW$210:$AW$212)/1000</f>
        <v>159.88516999999999</v>
      </c>
      <c r="G73" s="602">
        <f>(SUM('[7]Value Data'!$AI$210:$AI$212)-SUM('[7]Value Data'!$AJ$210:$AJ$212)-SUM('[7]Value Data'!$AW$210:$AW$212)-SUM('[7]Value Data'!$AZ$210:$AZ$212))/1000</f>
        <v>100.16103000000001</v>
      </c>
      <c r="H73" s="602">
        <f>SUM('[7]Value Data'!$P$210:$P$212)/1000</f>
        <v>321.52045000000004</v>
      </c>
      <c r="I73" s="624">
        <f>SUM('[7]Value Data'!$BC$210:$BC$212)/1000</f>
        <v>7.5098400000000005</v>
      </c>
      <c r="J73" s="812">
        <f t="shared" si="29"/>
        <v>-1.1723955140041653E-13</v>
      </c>
    </row>
    <row r="74" spans="1:10" ht="15" customHeight="1" x14ac:dyDescent="0.2">
      <c r="A74" s="746" t="s">
        <v>257</v>
      </c>
      <c r="B74" s="602">
        <f t="shared" si="56"/>
        <v>713.12069000000008</v>
      </c>
      <c r="C74" s="602">
        <f>SUM('[7]Value Data'!$D$213:$D$215)/1000</f>
        <v>237.96535</v>
      </c>
      <c r="D74" s="602">
        <f>SUM('[7]Value Data'!$AZ$213:$AZ$215)/1000</f>
        <v>53.57676</v>
      </c>
      <c r="E74" s="602">
        <f>SUM('[7]Value Data'!$AJ$213:$AJ$215)/1000</f>
        <v>25.44182</v>
      </c>
      <c r="F74" s="602">
        <f>SUM('[7]Value Data'!$AW$213:$AW$215)/1000</f>
        <v>155.79551000000001</v>
      </c>
      <c r="G74" s="602">
        <f>(SUM('[7]Value Data'!$AI$213:$AI$215)-SUM('[7]Value Data'!$AJ$213:$AJ$215)-SUM('[7]Value Data'!$AW$213:$AW$215)-SUM('[7]Value Data'!$AZ$213:$AZ$215))/1000</f>
        <v>35.248930000000001</v>
      </c>
      <c r="H74" s="602">
        <f>SUM('[7]Value Data'!$P$213:$P$215)/1000</f>
        <v>190.20140000000004</v>
      </c>
      <c r="I74" s="624">
        <f>SUM('[7]Value Data'!$BC$213:$BC$215)/1000</f>
        <v>14.890919999999999</v>
      </c>
      <c r="J74" s="812">
        <f t="shared" si="29"/>
        <v>5.1514348342607263E-14</v>
      </c>
    </row>
    <row r="75" spans="1:10" ht="15" customHeight="1" x14ac:dyDescent="0.2">
      <c r="A75" s="746" t="s">
        <v>258</v>
      </c>
      <c r="B75" s="602">
        <f t="shared" si="56"/>
        <v>590.18298000000004</v>
      </c>
      <c r="C75" s="602">
        <f>SUM('[7]Value Data'!$D$216:$D$218)/1000</f>
        <v>234.06867000000003</v>
      </c>
      <c r="D75" s="602">
        <f>SUM('[7]Value Data'!$AZ$216:$AZ$218)/1000</f>
        <v>49.35642</v>
      </c>
      <c r="E75" s="602">
        <f>SUM('[7]Value Data'!$AJ$216:$AJ$218)/1000</f>
        <v>12.480979999999999</v>
      </c>
      <c r="F75" s="602">
        <f>SUM('[7]Value Data'!$AW$216:$AW$218)/1000</f>
        <v>109.0381</v>
      </c>
      <c r="G75" s="602">
        <f>(SUM('[7]Value Data'!$AI$216:$AI$218)-SUM('[7]Value Data'!$AJ$216:$AJ$218)-SUM('[7]Value Data'!$AW$216:$AW$218)-SUM('[7]Value Data'!$AZ$216:$AZ$218))/1000</f>
        <v>19.419020000000003</v>
      </c>
      <c r="H75" s="602">
        <f>SUM('[7]Value Data'!$P$216:$P$218)/1000</f>
        <v>144.58979000000005</v>
      </c>
      <c r="I75" s="624">
        <f>SUM('[7]Value Data'!$BC$216:$BC$218)/1000</f>
        <v>21.23</v>
      </c>
      <c r="J75" s="812">
        <f t="shared" si="29"/>
        <v>0</v>
      </c>
    </row>
    <row r="76" spans="1:10" ht="15" customHeight="1" x14ac:dyDescent="0.2">
      <c r="A76" s="746" t="s">
        <v>259</v>
      </c>
      <c r="B76" s="602">
        <f t="shared" si="56"/>
        <v>1253.4761799999999</v>
      </c>
      <c r="C76" s="602">
        <f>SUM('[7]Value Data'!$D$219:$D$221)/1000</f>
        <v>518.3279</v>
      </c>
      <c r="D76" s="602">
        <f>SUM('[7]Value Data'!$AZ$219:$AZ$221)/1000</f>
        <v>80.978799999999993</v>
      </c>
      <c r="E76" s="602">
        <f>SUM('[7]Value Data'!$AJ$219:$AJ$221)/1000</f>
        <v>8.1497000000000011</v>
      </c>
      <c r="F76" s="602">
        <f>SUM('[7]Value Data'!$AW$219:$AW$221)/1000</f>
        <v>198.09</v>
      </c>
      <c r="G76" s="602">
        <f>(SUM('[7]Value Data'!$AI$219:$AI$221)-SUM('[7]Value Data'!$AJ$219:$AJ$221)-SUM('[7]Value Data'!$AW$219:$AW$221)-SUM('[7]Value Data'!$AZ$219:$AZ$221))/1000</f>
        <v>37.793400000000027</v>
      </c>
      <c r="H76" s="602">
        <f>SUM('[7]Value Data'!$P$219:$P$221)/1000</f>
        <v>371.97487999999998</v>
      </c>
      <c r="I76" s="624">
        <f>SUM('[7]Value Data'!$BC$219:$BC$221)/1000</f>
        <v>38.161499999999997</v>
      </c>
      <c r="J76" s="812">
        <f t="shared" si="29"/>
        <v>-1.7763568394002505E-13</v>
      </c>
    </row>
    <row r="77" spans="1:10" ht="15" customHeight="1" x14ac:dyDescent="0.2">
      <c r="A77" s="746" t="s">
        <v>260</v>
      </c>
      <c r="B77" s="602">
        <f t="shared" si="56"/>
        <v>1472.52701</v>
      </c>
      <c r="C77" s="602">
        <f>SUM('[7]Value Data'!$D$222:$D$224)/1000</f>
        <v>394.72773000000007</v>
      </c>
      <c r="D77" s="602">
        <f>SUM('[7]Value Data'!$AZ$222:$AZ$224)/1000</f>
        <v>73.440829999999991</v>
      </c>
      <c r="E77" s="602">
        <f>SUM('[7]Value Data'!$AJ$222:$AJ$224)/1000</f>
        <v>22.445219999999999</v>
      </c>
      <c r="F77" s="602">
        <f>SUM('[7]Value Data'!$AW$222:$AW$224)/1000</f>
        <v>349.92771999999997</v>
      </c>
      <c r="G77" s="602">
        <f>(SUM('[7]Value Data'!$AI$222:$AI$224)-SUM('[7]Value Data'!$AJ$222:$AJ$224)-SUM('[7]Value Data'!$AW$222:$AW$224)-SUM('[7]Value Data'!$AZ$222:$AZ$224))/1000</f>
        <v>136.15757000000005</v>
      </c>
      <c r="H77" s="602">
        <f>SUM('[7]Value Data'!$P$222:$P$224)/1000</f>
        <v>470.87394</v>
      </c>
      <c r="I77" s="624">
        <f>SUM('[7]Value Data'!$BC$222:$BC$224)/1000</f>
        <v>24.954000000000001</v>
      </c>
      <c r="J77" s="812">
        <f t="shared" si="29"/>
        <v>-1.0658141036401503E-13</v>
      </c>
    </row>
    <row r="78" spans="1:10" ht="15" customHeight="1" x14ac:dyDescent="0.2">
      <c r="A78" s="746" t="s">
        <v>261</v>
      </c>
      <c r="B78" s="602">
        <f t="shared" si="56"/>
        <v>1352.18129</v>
      </c>
      <c r="C78" s="602">
        <f>SUM('[7]Value Data'!$D$225:$D$227)/1000</f>
        <v>482.92637000000002</v>
      </c>
      <c r="D78" s="602">
        <f>SUM('[7]Value Data'!$AZ$225:$AZ$227)/1000</f>
        <v>74.130929999999992</v>
      </c>
      <c r="E78" s="602">
        <f>SUM('[7]Value Data'!$AJ$225:$AJ$227)/1000</f>
        <v>31.734569999999998</v>
      </c>
      <c r="F78" s="602">
        <f>SUM('[7]Value Data'!$AW$225:$AW$227)/1000</f>
        <v>139.12445000000002</v>
      </c>
      <c r="G78" s="602">
        <f>(SUM('[7]Value Data'!$AI$225:$AI$227)-SUM('[7]Value Data'!$AJ$225:$AJ$227)-SUM('[7]Value Data'!$AW$225:$AW$227)-SUM('[7]Value Data'!$AZ$225:$AZ$227))/1000</f>
        <v>133.96131999999994</v>
      </c>
      <c r="H78" s="602">
        <f>SUM('[7]Value Data'!$P$225:$P$227)/1000</f>
        <v>470.08965000000001</v>
      </c>
      <c r="I78" s="624">
        <f>SUM('[7]Value Data'!$BC$225:$BC$227)/1000</f>
        <v>20.213999999999999</v>
      </c>
      <c r="J78" s="812">
        <f t="shared" si="29"/>
        <v>0</v>
      </c>
    </row>
    <row r="79" spans="1:10" ht="15" customHeight="1" x14ac:dyDescent="0.2">
      <c r="A79" s="746" t="s">
        <v>262</v>
      </c>
      <c r="B79" s="602">
        <f t="shared" si="56"/>
        <v>959.51582999999994</v>
      </c>
      <c r="C79" s="602">
        <f>SUM('[7]Value Data'!$D$228:$D$230)/1000</f>
        <v>575.08622000000003</v>
      </c>
      <c r="D79" s="602">
        <f>SUM('[7]Value Data'!$AZ$228:$AZ$230)/1000</f>
        <v>43.209240000000008</v>
      </c>
      <c r="E79" s="602">
        <f>SUM('[7]Value Data'!$AJ$228:$AJ$230)/1000</f>
        <v>18.177659999999999</v>
      </c>
      <c r="F79" s="602">
        <f>SUM('[7]Value Data'!$AW$228:$AW$230)/1000</f>
        <v>104.56310000000001</v>
      </c>
      <c r="G79" s="602">
        <f>(SUM('[7]Value Data'!$AI$228:$AI$230)-SUM('[7]Value Data'!$AJ$228:$AJ$230)-SUM('[7]Value Data'!$AW$228:$AW$230)-SUM('[7]Value Data'!$AZ$228:$AZ$230))/1000</f>
        <v>29.945969999999956</v>
      </c>
      <c r="H79" s="602">
        <f>SUM('[7]Value Data'!$P$228:$P$230)/1000</f>
        <v>178.51722000000001</v>
      </c>
      <c r="I79" s="624">
        <f>SUM('[7]Value Data'!$BC$228:$BC$230)/1000</f>
        <v>10.01642</v>
      </c>
      <c r="J79" s="812">
        <f t="shared" si="29"/>
        <v>-1.0302869668521453E-13</v>
      </c>
    </row>
    <row r="80" spans="1:10" ht="15" customHeight="1" x14ac:dyDescent="0.2">
      <c r="A80" s="746" t="s">
        <v>263</v>
      </c>
      <c r="B80" s="602">
        <f t="shared" si="56"/>
        <v>784.04862999999978</v>
      </c>
      <c r="C80" s="602">
        <f>SUM('[7]Value Data'!$D$231:$D$233)/1000</f>
        <v>437.12104999999991</v>
      </c>
      <c r="D80" s="602">
        <f>SUM('[7]Value Data'!$AZ$231:$AZ$233)/1000</f>
        <v>45.301689999999994</v>
      </c>
      <c r="E80" s="602">
        <f>SUM('[7]Value Data'!$AJ$231:$AJ$233)/1000</f>
        <v>11.44078</v>
      </c>
      <c r="F80" s="602">
        <f>SUM('[7]Value Data'!$AW$231:$AW$233)/1000</f>
        <v>133.4402</v>
      </c>
      <c r="G80" s="602">
        <f>(SUM('[7]Value Data'!$AI$231:$AI$233)-SUM('[7]Value Data'!$AJ$231:$AJ$233)-SUM('[7]Value Data'!$AW$231:$AW$233)-SUM('[7]Value Data'!$AZ$231:$AZ$233))/1000</f>
        <v>8.714530000000007</v>
      </c>
      <c r="H80" s="602">
        <f>SUM('[7]Value Data'!$P$231:$P$233)/1000</f>
        <v>143.27838</v>
      </c>
      <c r="I80" s="624">
        <f>SUM('[7]Value Data'!$BC$231:$BC$233)/1000</f>
        <v>4.7519999999999998</v>
      </c>
      <c r="J80" s="812">
        <f t="shared" si="29"/>
        <v>-1.6076029396572267E-13</v>
      </c>
    </row>
    <row r="81" spans="1:10" ht="15" customHeight="1" x14ac:dyDescent="0.2">
      <c r="A81" s="746" t="s">
        <v>264</v>
      </c>
      <c r="B81" s="602">
        <f t="shared" si="56"/>
        <v>667.83507999999995</v>
      </c>
      <c r="C81" s="602">
        <f>SUM('[7]Value Data'!$D$234:$D$236)/1000</f>
        <v>233.24909999999997</v>
      </c>
      <c r="D81" s="602">
        <f>SUM('[7]Value Data'!$AZ$234:$AZ$236)/1000</f>
        <v>33.989309999999996</v>
      </c>
      <c r="E81" s="602">
        <f>SUM('[7]Value Data'!$AJ$234:$AJ$236)/1000</f>
        <v>9.4189599999999984</v>
      </c>
      <c r="F81" s="602">
        <f>SUM('[7]Value Data'!$AW$234:$AW$236)/1000</f>
        <v>246.41359999999997</v>
      </c>
      <c r="G81" s="602">
        <f>(SUM('[7]Value Data'!$AI$234:$AI$236)-SUM('[7]Value Data'!$AJ$234:$AJ$236)-SUM('[7]Value Data'!$AW$234:$AW$236)-SUM('[7]Value Data'!$AZ$234:$AZ$236))/1000</f>
        <v>47.65815000000002</v>
      </c>
      <c r="H81" s="602">
        <f>SUM('[7]Value Data'!$P$234:$P$236)/1000</f>
        <v>89.037999999999997</v>
      </c>
      <c r="I81" s="624">
        <f>SUM('[7]Value Data'!$BC$234:$BC$236)/1000</f>
        <v>8.0679599999999994</v>
      </c>
      <c r="J81" s="812">
        <f t="shared" si="29"/>
        <v>-5.6843418860808015E-14</v>
      </c>
    </row>
    <row r="82" spans="1:10" ht="15" customHeight="1" x14ac:dyDescent="0.2">
      <c r="A82" s="794" t="s">
        <v>265</v>
      </c>
      <c r="B82" s="585">
        <f t="shared" si="56"/>
        <v>1042.03919</v>
      </c>
      <c r="C82" s="585">
        <f>SUM('[7]Value Data'!$D$237:$D$239)/1000</f>
        <v>420.98059000000001</v>
      </c>
      <c r="D82" s="585">
        <f>SUM('[7]Value Data'!$AZ$237:$AZ$239)/1000</f>
        <v>62.630679999999998</v>
      </c>
      <c r="E82" s="585">
        <f>SUM('[7]Value Data'!$AJ$237:$AJ$239)/1000</f>
        <v>40.736650000000004</v>
      </c>
      <c r="F82" s="585">
        <f>SUM('[7]Value Data'!$AW$237:$AW$239)/1000</f>
        <v>113.20374</v>
      </c>
      <c r="G82" s="585">
        <f>(SUM('[7]Value Data'!$AI$237:$AI$239)-SUM('[7]Value Data'!$AJ$237:$AJ$239)-SUM('[7]Value Data'!$AW$237:$AW$239)-SUM('[7]Value Data'!$AZ$237:$AZ$239))/1000</f>
        <v>54.999560000000017</v>
      </c>
      <c r="H82" s="585">
        <f>SUM('[7]Value Data'!$P$237:$P$239)/1000</f>
        <v>332.80596999999995</v>
      </c>
      <c r="I82" s="591">
        <f>SUM('[7]Value Data'!$BC$237:$BC$239)/1000</f>
        <v>16.681999999999999</v>
      </c>
      <c r="J82" s="812">
        <f t="shared" si="29"/>
        <v>-3.907985046680551E-14</v>
      </c>
    </row>
    <row r="83" spans="1:10" ht="15" customHeight="1" x14ac:dyDescent="0.2">
      <c r="A83" s="794" t="s">
        <v>266</v>
      </c>
      <c r="B83" s="585">
        <f t="shared" si="56"/>
        <v>1185.87637</v>
      </c>
      <c r="C83" s="585">
        <f>SUM('[7]Value Data'!$D$240:$D$242)/1000</f>
        <v>638.09780000000001</v>
      </c>
      <c r="D83" s="585">
        <f>SUM('[7]Value Data'!$AZ$240:$AZ$242)/1000</f>
        <v>65.951639999999998</v>
      </c>
      <c r="E83" s="585">
        <f>SUM('[7]Value Data'!$AJ$240:$AJ$242)/1000</f>
        <v>40.925179999999997</v>
      </c>
      <c r="F83" s="585">
        <f>SUM('[7]Value Data'!$AW$240:$AW$242)/1000</f>
        <v>171.58326</v>
      </c>
      <c r="G83" s="585">
        <f>(SUM('[7]Value Data'!$AI$240:$AI$242)-SUM('[7]Value Data'!$AJ$240:$AJ$242)-SUM('[7]Value Data'!$AW$240:$AW$242)-SUM('[7]Value Data'!$AZ$240:$AZ$242))/1000</f>
        <v>58.86731000000001</v>
      </c>
      <c r="H83" s="585">
        <f>SUM('[7]Value Data'!$P$240:$P$242)/1000</f>
        <v>194.94118</v>
      </c>
      <c r="I83" s="591">
        <f>SUM('[7]Value Data'!$BC$240:$BC$242)/1000</f>
        <v>15.51</v>
      </c>
      <c r="J83" s="812">
        <f t="shared" si="29"/>
        <v>-6.5725203057809267E-14</v>
      </c>
    </row>
    <row r="84" spans="1:10" ht="15" customHeight="1" x14ac:dyDescent="0.2">
      <c r="A84" s="794" t="s">
        <v>267</v>
      </c>
      <c r="B84" s="585">
        <f t="shared" si="56"/>
        <v>1186.1587500000001</v>
      </c>
      <c r="C84" s="585">
        <f>SUM('[7]Value Data'!$D$243:$D$245)/1000</f>
        <v>634.43223999999998</v>
      </c>
      <c r="D84" s="585">
        <f>SUM('[7]Value Data'!$AZ$243:$AZ$245)/1000</f>
        <v>67.497439999999997</v>
      </c>
      <c r="E84" s="585">
        <f>SUM('[7]Value Data'!$AJ$243:$AJ$245)/1000</f>
        <v>27.05218</v>
      </c>
      <c r="F84" s="585">
        <f>SUM('[7]Value Data'!$AW$243:$AW$245)/1000</f>
        <v>216.30516</v>
      </c>
      <c r="G84" s="585">
        <f>(SUM('[7]Value Data'!$AI$243:$AI$245)-SUM('[7]Value Data'!$AJ$243:$AJ$245)-SUM('[7]Value Data'!$AW$243:$AW$245)-SUM('[7]Value Data'!$AZ$243:$AZ$245))/1000</f>
        <v>37.030749999999969</v>
      </c>
      <c r="H84" s="585">
        <f>SUM('[7]Value Data'!$P$243:$P$245)/1000</f>
        <v>199.55423000000002</v>
      </c>
      <c r="I84" s="591">
        <f>SUM('[7]Value Data'!$BC$243:$BC$245)/1000</f>
        <v>4.2867499999999996</v>
      </c>
      <c r="J84" s="812">
        <f t="shared" si="29"/>
        <v>9.7699626167013776E-14</v>
      </c>
    </row>
    <row r="85" spans="1:10" ht="15" customHeight="1" x14ac:dyDescent="0.2">
      <c r="A85" s="794" t="s">
        <v>268</v>
      </c>
      <c r="B85" s="585">
        <f t="shared" si="56"/>
        <v>1195.49891</v>
      </c>
      <c r="C85" s="585">
        <f>SUM('[7]Value Data'!$D$246:$D$248)/1000</f>
        <v>464.65753000000001</v>
      </c>
      <c r="D85" s="585">
        <f>SUM('[7]Value Data'!$AZ$246:$AZ$248)/1000</f>
        <v>32.518549999999998</v>
      </c>
      <c r="E85" s="585">
        <f>SUM('[7]Value Data'!$AJ$246:$AJ$248)/1000</f>
        <v>22.751810000000003</v>
      </c>
      <c r="F85" s="585">
        <f>SUM('[7]Value Data'!$AW$246:$AW$248)/1000</f>
        <v>389.08213000000001</v>
      </c>
      <c r="G85" s="585">
        <f>(SUM('[7]Value Data'!$AI$246:$AI$248)-SUM('[7]Value Data'!$AJ$246:$AJ$248)-SUM('[7]Value Data'!$AW$246:$AW$248)-SUM('[7]Value Data'!$AZ$246:$AZ$248))/1000</f>
        <v>93.44225999999999</v>
      </c>
      <c r="H85" s="585">
        <f>SUM('[7]Value Data'!$P$246:$P$248)/1000</f>
        <v>187.18863000000002</v>
      </c>
      <c r="I85" s="591">
        <f>SUM('[7]Value Data'!$BC$246:$BC$248)/1000</f>
        <v>5.8579999999999997</v>
      </c>
      <c r="J85" s="812">
        <f t="shared" si="29"/>
        <v>8.9706020389712648E-14</v>
      </c>
    </row>
    <row r="86" spans="1:10" ht="15" customHeight="1" x14ac:dyDescent="0.2">
      <c r="A86" s="794" t="s">
        <v>269</v>
      </c>
      <c r="B86" s="585">
        <f>SUM(C86:I86)</f>
        <v>947.79007999999999</v>
      </c>
      <c r="C86" s="585">
        <f>SUM('[7]Value Data'!$D$249:$D$251)/1000</f>
        <v>438.07434999999998</v>
      </c>
      <c r="D86" s="585">
        <f>SUM('[7]Value Data'!$AZ$249:$AZ$251)/1000</f>
        <v>44.608710000000009</v>
      </c>
      <c r="E86" s="585">
        <f>SUM('[7]Value Data'!$AJ$249:$AJ$251)/1000</f>
        <v>49.635440000000003</v>
      </c>
      <c r="F86" s="585">
        <f>SUM('[7]Value Data'!$AW$249:$AW$251)/1000</f>
        <v>208.04598000000001</v>
      </c>
      <c r="G86" s="585">
        <f>(SUM('[7]Value Data'!$AI$249:$AI$251)-SUM('[7]Value Data'!$AJ$249:$AJ$251)-SUM('[7]Value Data'!$AW$249:$AW$251)-SUM('[7]Value Data'!$AZ$249:$AZ$251))/1000</f>
        <v>77.522490000000033</v>
      </c>
      <c r="H86" s="585">
        <f>SUM('[7]Value Data'!$P$249:$P$251)/1000</f>
        <v>122.08510999999999</v>
      </c>
      <c r="I86" s="591">
        <f>SUM('[7]Value Data'!$BC$249:$BC$251)/1000</f>
        <v>7.8179999999999996</v>
      </c>
      <c r="J86" s="812">
        <f t="shared" ref="J86:J126" si="57">B86-C86-D86-E86-F86-G86-H86-I86</f>
        <v>-7.2830630415410269E-14</v>
      </c>
    </row>
    <row r="87" spans="1:10" ht="15" customHeight="1" x14ac:dyDescent="0.2">
      <c r="A87" s="794" t="s">
        <v>270</v>
      </c>
      <c r="B87" s="585">
        <f>SUM(C87:I87)</f>
        <v>1322.44704</v>
      </c>
      <c r="C87" s="585">
        <f>SUM('[7]Value Data'!$D$252:$D$254)/1000</f>
        <v>687.34863000000007</v>
      </c>
      <c r="D87" s="585">
        <f>SUM('[7]Value Data'!$AZ$252:$AZ$254)/1000</f>
        <v>71.88436999999999</v>
      </c>
      <c r="E87" s="585">
        <f>SUM('[7]Value Data'!$AJ$252:$AJ$254)/1000</f>
        <v>48.79813</v>
      </c>
      <c r="F87" s="585">
        <f>SUM('[7]Value Data'!$AW$252:$AW$254)/1000</f>
        <v>262.94412</v>
      </c>
      <c r="G87" s="585">
        <f>(SUM('[7]Value Data'!$AI$252:$AI$254)-SUM('[7]Value Data'!$AJ$252:$AJ$254)-SUM('[7]Value Data'!$AW$252:$AW$254)-SUM('[7]Value Data'!$AZ$252:$AZ$254))/1000</f>
        <v>70.388999999999996</v>
      </c>
      <c r="H87" s="585">
        <f>SUM('[7]Value Data'!$P$252:$P$254)/1000</f>
        <v>168.16079000000002</v>
      </c>
      <c r="I87" s="591">
        <f>SUM('[7]Value Data'!$BC$252:$BC$254)/1000</f>
        <v>12.922000000000001</v>
      </c>
      <c r="J87" s="812">
        <f t="shared" si="57"/>
        <v>-8.8817841970012523E-14</v>
      </c>
    </row>
    <row r="88" spans="1:10" ht="15" customHeight="1" x14ac:dyDescent="0.2">
      <c r="A88" s="794" t="s">
        <v>271</v>
      </c>
      <c r="B88" s="585">
        <f>SUM(C88:I88)</f>
        <v>1226.9047800000001</v>
      </c>
      <c r="C88" s="585">
        <f>SUM('[7]Value Data'!$D$255:$D$257)/1000</f>
        <v>688.95056000000011</v>
      </c>
      <c r="D88" s="585">
        <f>SUM('[7]Value Data'!$AZ$255:$AZ$257)/1000</f>
        <v>67.669499999999999</v>
      </c>
      <c r="E88" s="585">
        <f>SUM('[7]Value Data'!$AJ$255:$AJ$257)/1000</f>
        <v>32.286660000000005</v>
      </c>
      <c r="F88" s="585">
        <f>SUM('[7]Value Data'!$AW$255:$AW$257)/1000</f>
        <v>206.71082000000001</v>
      </c>
      <c r="G88" s="585">
        <f>(SUM('[7]Value Data'!$AI$255:$AI$257)-SUM('[7]Value Data'!$AJ$255:$AJ$257)-SUM('[7]Value Data'!$AW$255:$AW$257)-SUM('[7]Value Data'!$AZ$255:$AZ$257))/1000</f>
        <v>33.600720000000031</v>
      </c>
      <c r="H88" s="585">
        <f>SUM('[7]Value Data'!$P$255:$P$257)/1000</f>
        <v>187.42252000000002</v>
      </c>
      <c r="I88" s="591">
        <f>SUM('[7]Value Data'!$BC$255:$BC$257)/1000</f>
        <v>10.263999999999999</v>
      </c>
      <c r="J88" s="812">
        <f t="shared" si="57"/>
        <v>-4.6185277824406512E-14</v>
      </c>
    </row>
    <row r="89" spans="1:10" ht="15" customHeight="1" x14ac:dyDescent="0.2">
      <c r="A89" s="794" t="s">
        <v>272</v>
      </c>
      <c r="B89" s="585">
        <f>SUM(C89:I89)</f>
        <v>1140.65879</v>
      </c>
      <c r="C89" s="585">
        <f>SUM('[7]Value Data'!$D$258:$D$260)/1000</f>
        <v>444.33956000000001</v>
      </c>
      <c r="D89" s="585">
        <f>SUM('[7]Value Data'!$AZ$258:$AZ$260)/1000</f>
        <v>46.533979999999993</v>
      </c>
      <c r="E89" s="585">
        <f>SUM('[7]Value Data'!$AJ$258:$AJ$260)/1000</f>
        <v>26.750080000000001</v>
      </c>
      <c r="F89" s="585">
        <f>SUM('[7]Value Data'!$AW$258:$AW$260)/1000</f>
        <v>325.93689000000001</v>
      </c>
      <c r="G89" s="585">
        <f>(SUM('[7]Value Data'!$AI$258:$AI$260)-SUM('[7]Value Data'!$AJ$258:$AJ$260)-SUM('[7]Value Data'!$AW$258:$AW$260)-SUM('[7]Value Data'!$AZ$258:$AZ$260))/1000</f>
        <v>98.455309999999983</v>
      </c>
      <c r="H89" s="585">
        <f>SUM('[7]Value Data'!$P$258:$P$260)/1000</f>
        <v>188.61788999999999</v>
      </c>
      <c r="I89" s="591">
        <f>SUM('[7]Value Data'!$BC$258:$BC$260)/1000</f>
        <v>10.025079999999999</v>
      </c>
      <c r="J89" s="812">
        <f t="shared" si="57"/>
        <v>-1.1013412404281553E-13</v>
      </c>
    </row>
    <row r="90" spans="1:10" ht="15" customHeight="1" x14ac:dyDescent="0.2">
      <c r="A90" s="794" t="s">
        <v>273</v>
      </c>
      <c r="B90" s="585">
        <f t="shared" ref="B90" si="58">SUM(C90:I90)</f>
        <v>987.99219000000005</v>
      </c>
      <c r="C90" s="585">
        <f>SUM('[7]Value Data'!$D$261:$D$263)/1000</f>
        <v>349.88241999999997</v>
      </c>
      <c r="D90" s="585">
        <f>SUM('[7]Value Data'!$AZ$261:$AZ$263)/1000</f>
        <v>42.138380000000005</v>
      </c>
      <c r="E90" s="585">
        <f>SUM('[7]Value Data'!$AJ$261:$AJ$263)/1000</f>
        <v>49.236170000000001</v>
      </c>
      <c r="F90" s="585">
        <f>SUM('[7]Value Data'!$AW$261:$AW$263)/1000</f>
        <v>308.36038000000002</v>
      </c>
      <c r="G90" s="585">
        <f>(SUM('[7]Value Data'!$AI$261:$AI$263)-SUM('[7]Value Data'!$AJ$261:$AJ$263)-SUM('[7]Value Data'!$AW$261:$AW$263)-SUM('[7]Value Data'!$AZ$261:$AZ$263))/1000</f>
        <v>67.44163000000006</v>
      </c>
      <c r="H90" s="585">
        <f>SUM('[7]Value Data'!$P$261:$P$263)/1000</f>
        <v>162.88171000000003</v>
      </c>
      <c r="I90" s="591">
        <f>SUM('[7]Value Data'!$BC$261:$BC$263)/1000</f>
        <v>8.0515000000000008</v>
      </c>
      <c r="J90" s="812">
        <f t="shared" si="57"/>
        <v>-8.1712414612411521E-14</v>
      </c>
    </row>
    <row r="91" spans="1:10" ht="15" customHeight="1" x14ac:dyDescent="0.2">
      <c r="A91" s="794" t="s">
        <v>274</v>
      </c>
      <c r="B91" s="585">
        <f t="shared" ref="B91" si="59">SUM(C91:I91)</f>
        <v>1369.51484</v>
      </c>
      <c r="C91" s="585">
        <f>SUM('[7]Value Data'!$D$264:$D$266)/1000</f>
        <v>628.68928000000005</v>
      </c>
      <c r="D91" s="585">
        <f>SUM('[7]Value Data'!$AZ$264:$AZ$266)/1000</f>
        <v>60.449820000000003</v>
      </c>
      <c r="E91" s="585">
        <f>SUM('[7]Value Data'!$AJ$264:$AJ$266)/1000</f>
        <v>49.047800000000002</v>
      </c>
      <c r="F91" s="585">
        <f>SUM('[7]Value Data'!$AW$264:$AW$266)/1000</f>
        <v>344.94337000000002</v>
      </c>
      <c r="G91" s="585">
        <f>(SUM('[7]Value Data'!$AI$264:$AI$266)-SUM('[7]Value Data'!$AJ$264:$AJ$266)-SUM('[7]Value Data'!$AW$264:$AW$266)-SUM('[7]Value Data'!$AZ$264:$AZ$266))/1000</f>
        <v>69.368820000000014</v>
      </c>
      <c r="H91" s="585">
        <f>SUM('[7]Value Data'!$P$264:$P$266)/1000</f>
        <v>203.32556000000002</v>
      </c>
      <c r="I91" s="591">
        <f>SUM('[7]Value Data'!$BC$264:$BC$266)/1000</f>
        <v>13.690189999999999</v>
      </c>
      <c r="J91" s="812">
        <f t="shared" si="57"/>
        <v>-1.6875389974302379E-13</v>
      </c>
    </row>
    <row r="92" spans="1:10" ht="15" customHeight="1" x14ac:dyDescent="0.2">
      <c r="A92" s="794" t="s">
        <v>275</v>
      </c>
      <c r="B92" s="585">
        <f t="shared" ref="B92:B93" si="60">SUM(C92:I92)</f>
        <v>1265.9169999999999</v>
      </c>
      <c r="C92" s="585">
        <f>SUM('[7]Value Data'!$D$267:$D$269)/1000</f>
        <v>616.90740000000005</v>
      </c>
      <c r="D92" s="585">
        <f>SUM('[7]Value Data'!$AZ$267:$AZ$269)/1000</f>
        <v>49.833869999999997</v>
      </c>
      <c r="E92" s="585">
        <f>SUM('[7]Value Data'!$AJ$267:$AJ$269)/1000</f>
        <v>33.093429999999998</v>
      </c>
      <c r="F92" s="585">
        <f>SUM('[7]Value Data'!$AW$267:$AW$269)/1000</f>
        <v>247.44489999999999</v>
      </c>
      <c r="G92" s="585">
        <f>(SUM('[7]Value Data'!$AI$267:$AI$269)-SUM('[7]Value Data'!$AJ$267:$AJ$269)-SUM('[7]Value Data'!$AW$267:$AW$269)-SUM('[7]Value Data'!$AZ$267:$AZ$269))/1000</f>
        <v>69.372730000000004</v>
      </c>
      <c r="H92" s="585">
        <f>SUM('[7]Value Data'!$P$267:$P$269)/1000</f>
        <v>237.81128999999999</v>
      </c>
      <c r="I92" s="591">
        <f>SUM('[7]Value Data'!$BC$267:$BC$269)/1000</f>
        <v>11.453380000000001</v>
      </c>
      <c r="J92" s="812">
        <f t="shared" si="57"/>
        <v>-1.3322676295501878E-13</v>
      </c>
    </row>
    <row r="93" spans="1:10" ht="15" customHeight="1" x14ac:dyDescent="0.2">
      <c r="A93" s="794" t="s">
        <v>276</v>
      </c>
      <c r="B93" s="585">
        <f t="shared" si="60"/>
        <v>1062.99144</v>
      </c>
      <c r="C93" s="585">
        <f>SUM('[7]Value Data'!$D$270:$D$272)/1000</f>
        <v>452.08229000000006</v>
      </c>
      <c r="D93" s="585">
        <f>SUM('[7]Value Data'!$AZ$270:$AZ$272)/1000</f>
        <v>32.965350000000001</v>
      </c>
      <c r="E93" s="585">
        <f>SUM('[7]Value Data'!$AJ$270:$AJ$272)/1000</f>
        <v>39.98198</v>
      </c>
      <c r="F93" s="585">
        <f>SUM('[7]Value Data'!$AW$270:$AW$272)/1000</f>
        <v>215.74963</v>
      </c>
      <c r="G93" s="585">
        <f>(SUM('[7]Value Data'!$AI$270:$AI$272)-SUM('[7]Value Data'!$AJ$270:$AJ$272)-SUM('[7]Value Data'!$AW$270:$AW$272)-SUM('[7]Value Data'!$AZ$270:$AZ$272))/1000</f>
        <v>80.971190000000036</v>
      </c>
      <c r="H93" s="585">
        <f>SUM('[7]Value Data'!$P$270:$P$272)/1000</f>
        <v>225.601</v>
      </c>
      <c r="I93" s="591">
        <f>SUM('[7]Value Data'!$BC$270:$BC$272)/1000</f>
        <v>15.64</v>
      </c>
      <c r="J93" s="812">
        <f t="shared" si="57"/>
        <v>-7.1054273576010019E-14</v>
      </c>
    </row>
    <row r="94" spans="1:10" ht="15" customHeight="1" x14ac:dyDescent="0.2">
      <c r="A94" s="794" t="s">
        <v>277</v>
      </c>
      <c r="B94" s="585">
        <f t="shared" ref="B94" si="61">SUM(C94:I94)</f>
        <v>1129.20362</v>
      </c>
      <c r="C94" s="585">
        <f>SUM('[7]Value Data'!$D$273:$D$275)/1000</f>
        <v>561.88055000000008</v>
      </c>
      <c r="D94" s="585">
        <f>SUM('[7]Value Data'!$AZ$273:$AZ$275)/1000</f>
        <v>57.258009999999999</v>
      </c>
      <c r="E94" s="585">
        <f>SUM('[7]Value Data'!$AJ$273:$AJ$275)/1000</f>
        <v>49.385229999999993</v>
      </c>
      <c r="F94" s="585">
        <f>SUM('[7]Value Data'!$AW$273:$AW$275)/1000</f>
        <v>177.34317000000001</v>
      </c>
      <c r="G94" s="585">
        <f>(SUM('[7]Value Data'!$AI$273:$AI$275)-SUM('[7]Value Data'!$AJ$273:$AJ$275)-SUM('[7]Value Data'!$AW$273:$AW$275)-SUM('[7]Value Data'!$AZ$273:$AZ$275))/1000</f>
        <v>78.652180000000016</v>
      </c>
      <c r="H94" s="585">
        <f>SUM('[7]Value Data'!$P$273:$P$275)/1000</f>
        <v>184.92448000000002</v>
      </c>
      <c r="I94" s="591">
        <f>SUM('[7]Value Data'!$BC$273:$BC$275)/1000</f>
        <v>19.760000000000002</v>
      </c>
      <c r="J94" s="812">
        <f t="shared" si="57"/>
        <v>-9.5923269327613525E-14</v>
      </c>
    </row>
    <row r="95" spans="1:10" ht="15" customHeight="1" x14ac:dyDescent="0.2">
      <c r="A95" s="794" t="s">
        <v>278</v>
      </c>
      <c r="B95" s="585">
        <f t="shared" ref="B95:B96" si="62">SUM(C95:I95)</f>
        <v>1204.4122399999999</v>
      </c>
      <c r="C95" s="585">
        <f>SUM('[7]Value Data'!$D$276:$D$278)/1000</f>
        <v>618.71746999999993</v>
      </c>
      <c r="D95" s="585">
        <f>SUM('[7]Value Data'!$AZ$276:$AZ$278)/1000</f>
        <v>51.586460000000002</v>
      </c>
      <c r="E95" s="585">
        <f>SUM('[7]Value Data'!$AJ$276:$AJ$278)/1000</f>
        <v>22.776859999999999</v>
      </c>
      <c r="F95" s="585">
        <f>SUM('[7]Value Data'!$AW$276:$AW$278)/1000</f>
        <v>255.77341000000001</v>
      </c>
      <c r="G95" s="585">
        <f>(SUM('[7]Value Data'!$AI$276:$AI$278)-SUM('[7]Value Data'!$AJ$276:$AJ$278)-SUM('[7]Value Data'!$AW$276:$AW$278)-SUM('[7]Value Data'!$AZ$276:$AZ$278))/1000</f>
        <v>48.656560000000049</v>
      </c>
      <c r="H95" s="585">
        <f>SUM('[7]Value Data'!$P$276:$P$278)/1000</f>
        <v>190.89948000000001</v>
      </c>
      <c r="I95" s="591">
        <f>SUM('[7]Value Data'!$BC$276:$BC$278)/1000</f>
        <v>16.001999999999999</v>
      </c>
      <c r="J95" s="812">
        <f t="shared" si="57"/>
        <v>-1.0302869668521453E-13</v>
      </c>
    </row>
    <row r="96" spans="1:10" ht="15" customHeight="1" x14ac:dyDescent="0.2">
      <c r="A96" s="794" t="s">
        <v>279</v>
      </c>
      <c r="B96" s="585">
        <f t="shared" si="62"/>
        <v>1439.8135499999999</v>
      </c>
      <c r="C96" s="585">
        <f>SUM('[7]Value Data'!$D$279:$D$281)/1000</f>
        <v>814.09929</v>
      </c>
      <c r="D96" s="585">
        <f>SUM('[7]Value Data'!$AZ$279:$AZ$281)/1000</f>
        <v>29.221700000000002</v>
      </c>
      <c r="E96" s="585">
        <f>SUM('[7]Value Data'!$AJ$279:$AJ$281)/1000</f>
        <v>43.173629999999996</v>
      </c>
      <c r="F96" s="585">
        <f>SUM('[7]Value Data'!$AW$279:$AW$281)/1000</f>
        <v>164.5257</v>
      </c>
      <c r="G96" s="585">
        <f>(SUM('[7]Value Data'!$AI$279:$AI$281)-SUM('[7]Value Data'!$AJ$279:$AJ$281)-SUM('[7]Value Data'!$AW$279:$AW$281)-SUM('[7]Value Data'!$AZ$279:$AZ$281))/1000</f>
        <v>47.761370000000007</v>
      </c>
      <c r="H96" s="585">
        <f>SUM('[7]Value Data'!$P$279:$P$281)/1000</f>
        <v>322.94277</v>
      </c>
      <c r="I96" s="591">
        <f>SUM('[7]Value Data'!$BC$279:$BC$281)/1000</f>
        <v>18.089089999999999</v>
      </c>
      <c r="J96" s="812">
        <f t="shared" si="57"/>
        <v>-2.2737367544323206E-13</v>
      </c>
    </row>
    <row r="97" spans="1:10" ht="15" customHeight="1" x14ac:dyDescent="0.2">
      <c r="A97" s="794" t="s">
        <v>280</v>
      </c>
      <c r="B97" s="585">
        <f>SUM(C97:I97)</f>
        <v>1592.2598700000001</v>
      </c>
      <c r="C97" s="585">
        <f>SUM('[7]Value Data'!$D$282:$D$284)/1000</f>
        <v>688.30413999999996</v>
      </c>
      <c r="D97" s="585">
        <f>SUM('[7]Value Data'!$AZ$282:$AZ$284)/1000</f>
        <v>55.317320000000009</v>
      </c>
      <c r="E97" s="585">
        <f>SUM('[7]Value Data'!$AJ$282:$AJ$284)/1000</f>
        <v>38.67127</v>
      </c>
      <c r="F97" s="585">
        <f>SUM('[7]Value Data'!$AW$282:$AW$284)/1000</f>
        <v>327.25299999999999</v>
      </c>
      <c r="G97" s="585">
        <f>(SUM('[7]Value Data'!$AI$282:$AI$284)-SUM('[7]Value Data'!$AJ$282:$AJ$284)-SUM('[7]Value Data'!$AW$282:$AW$284)-SUM('[7]Value Data'!$AZ$282:$AZ$284))/1000</f>
        <v>177.55779999999999</v>
      </c>
      <c r="H97" s="585">
        <f>SUM('[7]Value Data'!$P$282:$P$284)/1000</f>
        <v>271.58353000000005</v>
      </c>
      <c r="I97" s="591">
        <f>SUM('[7]Value Data'!$BC$282:$BC$284)/1000</f>
        <v>33.572809999999997</v>
      </c>
      <c r="J97" s="812">
        <f t="shared" si="57"/>
        <v>6.3948846218409017E-14</v>
      </c>
    </row>
    <row r="98" spans="1:10" ht="15" customHeight="1" x14ac:dyDescent="0.2">
      <c r="A98" s="794" t="s">
        <v>281</v>
      </c>
      <c r="B98" s="585">
        <f t="shared" ref="B98" si="63">SUM(C98:I98)</f>
        <v>1210.9354000000003</v>
      </c>
      <c r="C98" s="585">
        <f>SUM('[7]Value Data'!$D$285:$D$287)/1000</f>
        <v>483.02141000000006</v>
      </c>
      <c r="D98" s="585">
        <f>SUM('[7]Value Data'!$AZ$285:$AZ$287)/1000</f>
        <v>75.607079999999996</v>
      </c>
      <c r="E98" s="585">
        <f>SUM('[7]Value Data'!$AJ$285:$AJ$287)/1000</f>
        <v>66.233469999999997</v>
      </c>
      <c r="F98" s="585">
        <f>SUM('[7]Value Data'!$AW$285:$AW$287)/1000</f>
        <v>315.66942999999998</v>
      </c>
      <c r="G98" s="585">
        <f>(SUM('[7]Value Data'!$AI$285:$AI$287)-SUM('[7]Value Data'!$AJ$285:$AJ$287)-SUM('[7]Value Data'!$AW$285:$AW$287)-SUM('[7]Value Data'!$AZ$285:$AZ$287))/1000</f>
        <v>78.114190000000079</v>
      </c>
      <c r="H98" s="585">
        <f>SUM('[7]Value Data'!$P$285:$P$287)/1000</f>
        <v>180.22407000000001</v>
      </c>
      <c r="I98" s="591">
        <f>SUM('[7]Value Data'!$BC$285:$BC$287)/1000</f>
        <v>12.06575</v>
      </c>
      <c r="J98" s="812">
        <f t="shared" si="57"/>
        <v>1.794120407794253E-13</v>
      </c>
    </row>
    <row r="99" spans="1:10" s="671" customFormat="1" ht="15" customHeight="1" x14ac:dyDescent="0.2">
      <c r="A99" s="794" t="s">
        <v>207</v>
      </c>
      <c r="B99" s="585">
        <f t="shared" ref="B99" si="64">SUM(C99:I99)</f>
        <v>1633.5717800000002</v>
      </c>
      <c r="C99" s="585">
        <f>SUM('[7]Value Data'!$D$288:$D$290)/1000</f>
        <v>724.50258999999994</v>
      </c>
      <c r="D99" s="585">
        <f>SUM('[7]Value Data'!$AZ$288:$AZ$290)/1000</f>
        <v>64.588009999999997</v>
      </c>
      <c r="E99" s="585">
        <f>SUM('[7]Value Data'!$AJ$288:$AJ$290)/1000</f>
        <v>61.881699999999995</v>
      </c>
      <c r="F99" s="585">
        <f>SUM('[7]Value Data'!$AW$288:$AW$290)/1000</f>
        <v>329.26441000000005</v>
      </c>
      <c r="G99" s="585">
        <f>(SUM('[7]Value Data'!$AI$288:$AI$290)-SUM('[7]Value Data'!$AJ$288:$AJ$290)-SUM('[7]Value Data'!$AW$288:$AW$290)-SUM('[7]Value Data'!$AZ$288:$AZ$290))/1000</f>
        <v>71.436189999999883</v>
      </c>
      <c r="H99" s="585">
        <f>SUM('[7]Value Data'!$P$288:$P$290)/1000</f>
        <v>351.06813</v>
      </c>
      <c r="I99" s="591">
        <f>SUM('[7]Value Data'!$BC$288:$BC$290)/1000</f>
        <v>30.830749999999998</v>
      </c>
      <c r="J99" s="812">
        <f t="shared" si="57"/>
        <v>2.5224267119483557E-13</v>
      </c>
    </row>
    <row r="100" spans="1:10" s="671" customFormat="1" ht="15" customHeight="1" x14ac:dyDescent="0.2">
      <c r="A100" s="794" t="s">
        <v>197</v>
      </c>
      <c r="B100" s="585">
        <f>SUM(C100:I100)</f>
        <v>2248.3033500000006</v>
      </c>
      <c r="C100" s="585">
        <f>SUM('[7]Value Data'!$D$291:$D$293)/1000</f>
        <v>964.5788500000001</v>
      </c>
      <c r="D100" s="585">
        <f>SUM('[7]Value Data'!$AZ$291:$AZ$293)/1000</f>
        <v>71.731179999999995</v>
      </c>
      <c r="E100" s="585">
        <f>SUM('[7]Value Data'!$AJ$291:$AJ$293)/1000</f>
        <v>79.83587</v>
      </c>
      <c r="F100" s="585">
        <f>SUM('[7]Value Data'!$AW$291:$AW$293)/1000</f>
        <v>508.20686999999998</v>
      </c>
      <c r="G100" s="585">
        <f>(SUM('[7]Value Data'!$AI$291:$AI$293)-SUM('[7]Value Data'!$AJ$291:$AJ$293)-SUM('[7]Value Data'!$AW$291:$AW$293)-SUM('[7]Value Data'!$AZ$291:$AZ$293))/1000</f>
        <v>119.65753000000008</v>
      </c>
      <c r="H100" s="585">
        <f>SUM('[7]Value Data'!$P$291:$P$293)/1000</f>
        <v>471.32105000000007</v>
      </c>
      <c r="I100" s="591">
        <f>SUM('[7]Value Data'!$BC$291:$BC$293)/1000</f>
        <v>32.972000000000001</v>
      </c>
      <c r="J100" s="812">
        <f t="shared" si="57"/>
        <v>4.9027448767446913E-13</v>
      </c>
    </row>
    <row r="101" spans="1:10" s="671" customFormat="1" ht="15" customHeight="1" x14ac:dyDescent="0.2">
      <c r="A101" s="794" t="s">
        <v>198</v>
      </c>
      <c r="B101" s="585">
        <f>SUM(C101:I101)</f>
        <v>3223.6461600000007</v>
      </c>
      <c r="C101" s="585">
        <f>SUM('[7]Value Data'!$D$294:$D$296)/1000</f>
        <v>1037.4743800000001</v>
      </c>
      <c r="D101" s="585">
        <f>SUM('[7]Value Data'!$AZ$294:$AZ$296)/1000</f>
        <v>157.43926000000002</v>
      </c>
      <c r="E101" s="585">
        <f>SUM('[7]Value Data'!$AJ$294:$AJ$296)/1000</f>
        <v>101.3215</v>
      </c>
      <c r="F101" s="585">
        <f>SUM('[7]Value Data'!$AW$294:$AW$296)/1000</f>
        <v>1318.5438900000001</v>
      </c>
      <c r="G101" s="585">
        <f>(SUM('[7]Value Data'!$AI$294:$AI$296)-SUM('[7]Value Data'!$AJ$294:$AJ$296)-SUM('[7]Value Data'!$AW$294:$AW$296)-SUM('[7]Value Data'!$AZ$294:$AZ$296))/1000</f>
        <v>169.24844999999996</v>
      </c>
      <c r="H101" s="585">
        <f>SUM('[7]Value Data'!$P$294:$P$296)/1000</f>
        <v>407.58268000000004</v>
      </c>
      <c r="I101" s="591">
        <f>SUM('[7]Value Data'!$BC$294:$BC$296)/1000</f>
        <v>32.036000000000001</v>
      </c>
      <c r="J101" s="812">
        <f t="shared" si="57"/>
        <v>3.4106051316484809E-13</v>
      </c>
    </row>
    <row r="102" spans="1:10" s="671" customFormat="1" ht="15" customHeight="1" x14ac:dyDescent="0.2">
      <c r="A102" s="794" t="s">
        <v>208</v>
      </c>
      <c r="B102" s="585">
        <f t="shared" ref="B102:B104" si="65">SUM(C102:I102)</f>
        <v>1240.2742600000001</v>
      </c>
      <c r="C102" s="585">
        <f>SUM('[7]Value Data'!$D$297:$D$299)/1000</f>
        <v>569.89465000000007</v>
      </c>
      <c r="D102" s="585">
        <f>SUM('[7]Value Data'!$AZ$297:$AZ$299)/1000</f>
        <v>59.965549999999993</v>
      </c>
      <c r="E102" s="585">
        <f>SUM('[7]Value Data'!$AJ$297:$AJ$299)/1000</f>
        <v>70.011790000000005</v>
      </c>
      <c r="F102" s="585">
        <f>SUM('[7]Value Data'!$AW$297:$AW$299)/1000</f>
        <v>253.42674</v>
      </c>
      <c r="G102" s="585">
        <f>(SUM('[7]Value Data'!$AI$297:$AI$299)-SUM('[7]Value Data'!$AJ$297:$AJ$299)-SUM('[7]Value Data'!$AW$297:$AW$299)-SUM('[7]Value Data'!$AZ$297:$AZ$299))/1000</f>
        <v>71.775190000000009</v>
      </c>
      <c r="H102" s="585">
        <f>SUM('[7]Value Data'!$P$297:$P$299)/1000</f>
        <v>203.03925000000001</v>
      </c>
      <c r="I102" s="591">
        <f>SUM('[7]Value Data'!$BC$297:$BC$299)/1000</f>
        <v>12.16109</v>
      </c>
      <c r="J102" s="812">
        <f t="shared" si="57"/>
        <v>3.0198066269804258E-14</v>
      </c>
    </row>
    <row r="103" spans="1:10" s="671" customFormat="1" ht="15" customHeight="1" x14ac:dyDescent="0.2">
      <c r="A103" s="794" t="s">
        <v>209</v>
      </c>
      <c r="B103" s="585">
        <f t="shared" si="65"/>
        <v>1703.0865000000003</v>
      </c>
      <c r="C103" s="585">
        <f>SUM('[7]Value Data'!$D$300:$D$302)/1000</f>
        <v>1004.1739200000001</v>
      </c>
      <c r="D103" s="585">
        <f>SUM('[7]Value Data'!$AZ$300:$AZ$302)/1000</f>
        <v>62.973020000000005</v>
      </c>
      <c r="E103" s="585">
        <f>SUM('[7]Value Data'!$AJ$300:$AJ$302)/1000</f>
        <v>19.69614</v>
      </c>
      <c r="F103" s="585">
        <f>SUM('[7]Value Data'!$AW$300:$AW$302)/1000</f>
        <v>290.67343</v>
      </c>
      <c r="G103" s="585">
        <f>(SUM('[7]Value Data'!$AI$300:$AI$302)-SUM('[7]Value Data'!$AJ$300:$AJ$302)-SUM('[7]Value Data'!$AW$300:$AW$302)-SUM('[7]Value Data'!$AZ$300:$AZ$302))/1000</f>
        <v>39.254720000000042</v>
      </c>
      <c r="H103" s="585">
        <f>SUM('[7]Value Data'!$P$300:$P$302)/1000</f>
        <v>269.42227000000003</v>
      </c>
      <c r="I103" s="591">
        <f>SUM('[7]Value Data'!$BC$300:$BC$302)/1000</f>
        <v>16.893000000000001</v>
      </c>
      <c r="J103" s="812">
        <f t="shared" si="57"/>
        <v>1.9895196601282805E-13</v>
      </c>
    </row>
    <row r="104" spans="1:10" s="671" customFormat="1" ht="15" customHeight="1" x14ac:dyDescent="0.2">
      <c r="A104" s="794" t="s">
        <v>210</v>
      </c>
      <c r="B104" s="585">
        <f t="shared" si="65"/>
        <v>2049.2542400000002</v>
      </c>
      <c r="C104" s="585">
        <f>SUM('[7]Value Data'!$D$303:$D$305)/1000</f>
        <v>1121.7483300000001</v>
      </c>
      <c r="D104" s="585">
        <f>SUM('[7]Value Data'!$AZ$303:$AZ$305)/1000</f>
        <v>71.08</v>
      </c>
      <c r="E104" s="585">
        <f>SUM('[7]Value Data'!$AJ$303:$AJ$305)/1000</f>
        <v>34.505839999999999</v>
      </c>
      <c r="F104" s="585">
        <f>SUM('[7]Value Data'!$AW$303:$AW$305)/1000</f>
        <v>347.18489</v>
      </c>
      <c r="G104" s="585">
        <f>(SUM('[7]Value Data'!$AI$303:$AI$305)-SUM('[7]Value Data'!$AJ$303:$AJ$305)-SUM('[7]Value Data'!$AW$303:$AW$305)-SUM('[7]Value Data'!$AZ$303:$AZ$305))/1000</f>
        <v>26.630199999999952</v>
      </c>
      <c r="H104" s="585">
        <f>SUM('[7]Value Data'!$P$303:$P$305)/1000</f>
        <v>433.30669</v>
      </c>
      <c r="I104" s="591">
        <f>SUM('[7]Value Data'!$BC$303:$BC$305)/1000</f>
        <v>14.798290000000001</v>
      </c>
      <c r="J104" s="812">
        <f t="shared" si="57"/>
        <v>6.3948846218409017E-14</v>
      </c>
    </row>
    <row r="105" spans="1:10" s="671" customFormat="1" ht="15" customHeight="1" x14ac:dyDescent="0.2">
      <c r="A105" s="794" t="s">
        <v>211</v>
      </c>
      <c r="B105" s="585">
        <f t="shared" ref="B105" si="66">SUM(C105:I105)</f>
        <v>2648.0234299999997</v>
      </c>
      <c r="C105" s="585">
        <f>SUM('[7]Value Data'!$D$306:$D$308)/1000</f>
        <v>1015.93539</v>
      </c>
      <c r="D105" s="585">
        <f>SUM('[7]Value Data'!$AZ$306:$AZ$308)/1000</f>
        <v>36.559830000000005</v>
      </c>
      <c r="E105" s="585">
        <f>SUM('[7]Value Data'!$AJ$306:$AJ$308)/1000</f>
        <v>62.784649999999999</v>
      </c>
      <c r="F105" s="585">
        <f>SUM('[7]Value Data'!$AW$306:$AW$308)/1000</f>
        <v>847.63347999999996</v>
      </c>
      <c r="G105" s="585">
        <f>(SUM('[7]Value Data'!$AI$306:$AI$308)-SUM('[7]Value Data'!$AJ$306:$AJ$308)-SUM('[7]Value Data'!$AW$306:$AW$308)-SUM('[7]Value Data'!$AZ$306:$AZ$308))/1000</f>
        <v>150.40774999999994</v>
      </c>
      <c r="H105" s="585">
        <f>SUM('[7]Value Data'!$P$306:$P$308)/1000</f>
        <v>516.40769999999998</v>
      </c>
      <c r="I105" s="591">
        <f>SUM('[7]Value Data'!$BC$306:$BC$308)/1000</f>
        <v>18.294630000000002</v>
      </c>
      <c r="J105" s="812">
        <f t="shared" si="57"/>
        <v>-2.4513724383723456E-13</v>
      </c>
    </row>
    <row r="106" spans="1:10" s="671" customFormat="1" ht="15" customHeight="1" x14ac:dyDescent="0.2">
      <c r="A106" s="794" t="s">
        <v>199</v>
      </c>
      <c r="B106" s="585">
        <f t="shared" ref="B106:B122" si="67">SUM(C106:I106)</f>
        <v>1820.3933599999998</v>
      </c>
      <c r="C106" s="585">
        <f>SUM('[7]Value Data'!$D$309:$D$311)/1000</f>
        <v>894.25977</v>
      </c>
      <c r="D106" s="585">
        <f>SUM('[7]Value Data'!$AZ$309:$AZ$311)/1000</f>
        <v>64.808099999999996</v>
      </c>
      <c r="E106" s="585">
        <f>SUM('[7]Value Data'!$AJ$309:$AJ$311)/1000</f>
        <v>144.4973</v>
      </c>
      <c r="F106" s="585">
        <f>SUM('[7]Value Data'!$AW$309:$AW$311)/1000</f>
        <v>286.90456</v>
      </c>
      <c r="G106" s="585">
        <f>(SUM('[7]Value Data'!$AI$309:$AI$311)-SUM('[7]Value Data'!$AJ$309:$AJ$311)-SUM('[7]Value Data'!$AW$309:$AW$311)-SUM('[7]Value Data'!$AZ$309:$AZ$311))/1000</f>
        <v>75.410439999999909</v>
      </c>
      <c r="H106" s="585">
        <f>SUM('[7]Value Data'!$P$309:$P$311)/1000</f>
        <v>331.93721999999997</v>
      </c>
      <c r="I106" s="591">
        <f>SUM('[7]Value Data'!$BC$309:$BC$311)/1000</f>
        <v>22.575970000000002</v>
      </c>
      <c r="J106" s="812">
        <f t="shared" si="57"/>
        <v>-7.460698725481052E-14</v>
      </c>
    </row>
    <row r="107" spans="1:10" s="671" customFormat="1" ht="15" customHeight="1" x14ac:dyDescent="0.2">
      <c r="A107" s="794" t="s">
        <v>200</v>
      </c>
      <c r="B107" s="585">
        <f t="shared" si="67"/>
        <v>2400.3093200000003</v>
      </c>
      <c r="C107" s="585">
        <f>SUM('[7]Value Data'!$D$312:$D$314)/1000</f>
        <v>1181.80546</v>
      </c>
      <c r="D107" s="585">
        <f>SUM('[7]Value Data'!$AZ$312:$AZ$314)/1000</f>
        <v>74.127499999999998</v>
      </c>
      <c r="E107" s="585">
        <f>SUM('[7]Value Data'!$AJ$312:$AJ$314)/1000</f>
        <v>100.77154</v>
      </c>
      <c r="F107" s="585">
        <f>SUM('[7]Value Data'!$AW$312:$AW$314)/1000</f>
        <v>656.49502000000007</v>
      </c>
      <c r="G107" s="585">
        <f>(SUM('[7]Value Data'!$AI$312:$AI$314)-SUM('[7]Value Data'!$AJ$312:$AJ$314)-SUM('[7]Value Data'!$AW$312:$AW$314)-SUM('[7]Value Data'!$AZ$312:$AZ$314))/1000</f>
        <v>63.507109999999869</v>
      </c>
      <c r="H107" s="585">
        <f>SUM('[7]Value Data'!$P$312:$P$314)/1000</f>
        <v>303.74057999999997</v>
      </c>
      <c r="I107" s="591">
        <f>SUM('[7]Value Data'!$BC$312:$BC$314)/1000</f>
        <v>19.862110000000001</v>
      </c>
      <c r="J107" s="812">
        <f t="shared" si="57"/>
        <v>3.1263880373444408E-13</v>
      </c>
    </row>
    <row r="108" spans="1:10" s="671" customFormat="1" ht="15" customHeight="1" x14ac:dyDescent="0.2">
      <c r="A108" s="794" t="s">
        <v>201</v>
      </c>
      <c r="B108" s="585">
        <f t="shared" si="67"/>
        <v>2151.7511799999997</v>
      </c>
      <c r="C108" s="585">
        <f>SUM('[7]Value Data'!$D$315:$D$317)/1000</f>
        <v>1389.91365</v>
      </c>
      <c r="D108" s="585">
        <f>SUM('[7]Value Data'!$AZ$315:$AZ$317)/1000</f>
        <v>62.536089999999994</v>
      </c>
      <c r="E108" s="585">
        <f>SUM('[7]Value Data'!$AJ$315:$AJ$317)/1000</f>
        <v>30.741700000000002</v>
      </c>
      <c r="F108" s="585">
        <f>SUM('[7]Value Data'!$AW$315:$AW$317)/1000</f>
        <v>279.51891999999998</v>
      </c>
      <c r="G108" s="585">
        <f>(SUM('[7]Value Data'!$AI$315:$AI$317)-SUM('[7]Value Data'!$AJ$315:$AJ$317)-SUM('[7]Value Data'!$AW$315:$AW$317)-SUM('[7]Value Data'!$AZ$315:$AZ$317))/1000</f>
        <v>36.818999999999974</v>
      </c>
      <c r="H108" s="585">
        <f>SUM('[7]Value Data'!$P$315:$P$317)/1000</f>
        <v>333.42095999999998</v>
      </c>
      <c r="I108" s="591">
        <f>SUM('[7]Value Data'!$BC$315:$BC$317)/1000</f>
        <v>18.80086</v>
      </c>
      <c r="J108" s="812">
        <f t="shared" si="57"/>
        <v>-1.1368683772161603E-13</v>
      </c>
    </row>
    <row r="109" spans="1:10" s="671" customFormat="1" ht="15" customHeight="1" x14ac:dyDescent="0.2">
      <c r="A109" s="794" t="s">
        <v>202</v>
      </c>
      <c r="B109" s="585">
        <f t="shared" si="67"/>
        <v>2313.3558200000002</v>
      </c>
      <c r="C109" s="585">
        <f>SUM('[7]Value Data'!$D$318:$D$320)/1000</f>
        <v>798.13175000000001</v>
      </c>
      <c r="D109" s="585">
        <f>SUM('[7]Value Data'!$AZ$318:$AZ$320)/1000</f>
        <v>37.018949999999997</v>
      </c>
      <c r="E109" s="585">
        <f>SUM('[7]Value Data'!$AJ$318:$AJ$320)/1000</f>
        <v>56.430820000000004</v>
      </c>
      <c r="F109" s="585">
        <f>SUM('[7]Value Data'!$AW$318:$AW$320)/1000</f>
        <v>816.68578000000002</v>
      </c>
      <c r="G109" s="585">
        <f>(SUM('[7]Value Data'!$AI$318:$AI$320)-SUM('[7]Value Data'!$AJ$318:$AJ$320)-SUM('[7]Value Data'!$AW$318:$AW$320)-SUM('[7]Value Data'!$AZ$318:$AZ$320))/1000</f>
        <v>132.4203</v>
      </c>
      <c r="H109" s="585">
        <f>SUM('[7]Value Data'!$P$318:$P$320)/1000</f>
        <v>457.19734999999997</v>
      </c>
      <c r="I109" s="591">
        <f>SUM('[7]Value Data'!$BC$318:$BC$320)/1000</f>
        <v>15.47087</v>
      </c>
      <c r="J109" s="812">
        <f t="shared" si="57"/>
        <v>2.7533531010703882E-13</v>
      </c>
    </row>
    <row r="110" spans="1:10" s="671" customFormat="1" ht="15" customHeight="1" x14ac:dyDescent="0.2">
      <c r="A110" s="794" t="s">
        <v>203</v>
      </c>
      <c r="B110" s="585">
        <f t="shared" si="67"/>
        <v>3453.9081199999996</v>
      </c>
      <c r="C110" s="585">
        <f>SUM('[7]Value Data'!$D$321:$D$323)/10000</f>
        <v>2875.8275800000001</v>
      </c>
      <c r="D110" s="585">
        <f>SUM('[7]Value Data'!$AZ$321:$AZ$323)/1000</f>
        <v>1.7010000000000001</v>
      </c>
      <c r="E110" s="585">
        <f>SUM('[7]Value Data'!$AJ$321:$AJ$323)/1000</f>
        <v>41.681350000000002</v>
      </c>
      <c r="F110" s="585">
        <f>SUM('[7]Value Data'!$AW$321:$AW$323)/1000</f>
        <v>0</v>
      </c>
      <c r="G110" s="585">
        <f>(SUM('[7]Value Data'!$AI$321:$AI$323)-SUM('[7]Value Data'!$AJ$321:$AJ$323)-SUM('[7]Value Data'!$AW$321:$AW$323)-SUM('[7]Value Data'!$AZ$321:$AZ$323))/1000</f>
        <v>49.37022000000001</v>
      </c>
      <c r="H110" s="585">
        <f>SUM('[7]Value Data'!$P$321:$P$323)/1000</f>
        <v>444.60096999999996</v>
      </c>
      <c r="I110" s="591">
        <f>SUM('[7]Value Data'!$BC$321:$BC$323)/1000</f>
        <v>40.726999999999997</v>
      </c>
      <c r="J110" s="812">
        <f t="shared" si="57"/>
        <v>-4.7606363295926712E-13</v>
      </c>
    </row>
    <row r="111" spans="1:10" s="671" customFormat="1" ht="15" customHeight="1" x14ac:dyDescent="0.2">
      <c r="A111" s="794" t="s">
        <v>204</v>
      </c>
      <c r="B111" s="585">
        <f t="shared" si="67"/>
        <v>2479.8564793</v>
      </c>
      <c r="C111" s="585">
        <f>SUM('[7]Value Data'!$D$324:$D$326)/100000</f>
        <v>1753.9137793</v>
      </c>
      <c r="D111" s="585">
        <f>SUM('[7]Value Data'!$AZ$324:$AZ$326)/1000</f>
        <v>84.265969999999996</v>
      </c>
      <c r="E111" s="585">
        <f>SUM('[7]Value Data'!$AJ$324:$AJ$326)/1000</f>
        <v>15.188499999999999</v>
      </c>
      <c r="F111" s="585">
        <f>SUM('[7]Value Data'!$AW$324:$AW$326)/1000</f>
        <v>286.34724999999997</v>
      </c>
      <c r="G111" s="585">
        <f>(SUM('[7]Value Data'!$AI$324:$AI$326)-SUM('[7]Value Data'!$AJ$324:$AJ$326)-SUM('[7]Value Data'!$AW$324:$AW$326)-SUM('[7]Value Data'!$AZ$324:$AZ$326))/1000</f>
        <v>18.144210000000051</v>
      </c>
      <c r="H111" s="585">
        <f>SUM('[7]Value Data'!$P$324:$P$326)/1000</f>
        <v>297.55992000000003</v>
      </c>
      <c r="I111" s="591">
        <f>SUM('[7]Value Data'!$BC$324:$BC$326)/1000</f>
        <v>24.436850000000003</v>
      </c>
      <c r="J111" s="812">
        <f t="shared" si="57"/>
        <v>0</v>
      </c>
    </row>
    <row r="112" spans="1:10" s="671" customFormat="1" ht="15" customHeight="1" x14ac:dyDescent="0.2">
      <c r="A112" s="794" t="s">
        <v>205</v>
      </c>
      <c r="B112" s="585">
        <f t="shared" si="67"/>
        <v>1066.1019100000003</v>
      </c>
      <c r="C112" s="585">
        <f>SUM('[7]Value Data'!$D$327:$D$329)/1000</f>
        <v>546.21484000000009</v>
      </c>
      <c r="D112" s="585">
        <f>SUM('[7]Value Data'!$AZ$327:$AZ$329)/1000</f>
        <v>32.394440000000003</v>
      </c>
      <c r="E112" s="585">
        <f>SUM('[7]Value Data'!$AJ$327:$AJ$329)/1000</f>
        <v>36.047880000000006</v>
      </c>
      <c r="F112" s="585">
        <f>SUM('[7]Value Data'!$AW$327:$AW$329)/1000</f>
        <v>144.98251000000002</v>
      </c>
      <c r="G112" s="585">
        <f>(SUM('[7]Value Data'!$AI$327:$AI$329)-SUM('[7]Value Data'!$AJ$327:$AJ$329)-SUM('[7]Value Data'!$AW$327:$AW$329)-SUM('[7]Value Data'!$AZ$327:$AZ$329))/1000</f>
        <v>35.132699999999986</v>
      </c>
      <c r="H112" s="585">
        <f>SUM('[7]Value Data'!$P$327:$P$329)/1000</f>
        <v>254.97881000000001</v>
      </c>
      <c r="I112" s="591">
        <f>SUM('[7]Value Data'!$BC$327:$BC$329)/1000</f>
        <v>16.350729999999999</v>
      </c>
      <c r="J112" s="812">
        <f t="shared" si="57"/>
        <v>1.7053025658242404E-13</v>
      </c>
    </row>
    <row r="113" spans="1:12" s="671" customFormat="1" ht="15" customHeight="1" x14ac:dyDescent="0.2">
      <c r="A113" s="794" t="s">
        <v>206</v>
      </c>
      <c r="B113" s="585">
        <f t="shared" si="67"/>
        <v>729.63305000000014</v>
      </c>
      <c r="C113" s="585">
        <f>SUM('[7]Value Data'!$D$330:$D$332)/1000</f>
        <v>352.85480000000007</v>
      </c>
      <c r="D113" s="585">
        <f>SUM('[7]Value Data'!$AZ$330:$AZ$332)/1000</f>
        <v>18.632919999999999</v>
      </c>
      <c r="E113" s="585">
        <f>SUM('[7]Value Data'!$AJ$330:$AJ$332)/1000</f>
        <v>24.601779999999998</v>
      </c>
      <c r="F113" s="585">
        <f>SUM('[7]Value Data'!$AW$330:$AW$332)/1000</f>
        <v>103.48608999999999</v>
      </c>
      <c r="G113" s="585">
        <f>(SUM('[7]Value Data'!$AI$330:$AI$332)-SUM('[7]Value Data'!$AJ$330:$AJ$332)-SUM('[7]Value Data'!$AW$330:$AW$332)-SUM('[7]Value Data'!$AZ$330:$AZ$332))/1000</f>
        <v>34.817050000000002</v>
      </c>
      <c r="H113" s="585">
        <f>SUM('[7]Value Data'!$P$330:$P$332)/1000</f>
        <v>180.28192999999999</v>
      </c>
      <c r="I113" s="591">
        <f>SUM('[7]Value Data'!$BC$330:$BC$332)/1000</f>
        <v>14.95848</v>
      </c>
      <c r="J113" s="812">
        <f t="shared" si="57"/>
        <v>6.5725203057809267E-14</v>
      </c>
      <c r="K113" s="681"/>
    </row>
    <row r="114" spans="1:12" s="671" customFormat="1" ht="15" customHeight="1" x14ac:dyDescent="0.2">
      <c r="A114" s="794" t="s">
        <v>212</v>
      </c>
      <c r="B114" s="585">
        <f t="shared" si="67"/>
        <v>1556.9229500000004</v>
      </c>
      <c r="C114" s="585">
        <f>SUM('[7]Value Data'!$D$333:$D$335)/1000</f>
        <v>643.15163999999993</v>
      </c>
      <c r="D114" s="585">
        <f>SUM('[7]Value Data'!$AZ$333:$AZ$335)/1000</f>
        <v>37.086440000000003</v>
      </c>
      <c r="E114" s="585">
        <f>SUM('[7]Value Data'!$AJ$333:$AJ$335)/1000</f>
        <v>49.794249999999998</v>
      </c>
      <c r="F114" s="585">
        <f>SUM('[7]Value Data'!$AW$333:$AW$335)/1000</f>
        <v>397.79023999999998</v>
      </c>
      <c r="G114" s="585">
        <f>(SUM('[7]Value Data'!$AI$333:$AI$335)-SUM('[7]Value Data'!$AJ$333:$AJ$335)-SUM('[7]Value Data'!$AW$333:$AW$335)-SUM('[7]Value Data'!$AZ$333:$AZ$335))/1000</f>
        <v>73.280140000000074</v>
      </c>
      <c r="H114" s="585">
        <f>SUM('[7]Value Data'!$P$333:$P$335)/1000</f>
        <v>329.33181000000002</v>
      </c>
      <c r="I114" s="591">
        <f>SUM('[7]Value Data'!$BC$333:$BC$335)/1000</f>
        <v>26.488430000000001</v>
      </c>
      <c r="J114" s="812">
        <f t="shared" si="57"/>
        <v>2.7711166694643907E-13</v>
      </c>
      <c r="K114" s="681"/>
      <c r="L114" s="681"/>
    </row>
    <row r="115" spans="1:12" s="671" customFormat="1" ht="15" customHeight="1" x14ac:dyDescent="0.2">
      <c r="A115" s="794" t="s">
        <v>213</v>
      </c>
      <c r="B115" s="585">
        <f t="shared" si="67"/>
        <v>3185.8830400000002</v>
      </c>
      <c r="C115" s="585">
        <f>SUM('[7]Value Data'!$D$336:$D$338)/1000</f>
        <v>1393.3466600000002</v>
      </c>
      <c r="D115" s="585">
        <f>SUM('[7]Value Data'!$AZ$336:$AZ$338)/1000</f>
        <v>209.36913000000001</v>
      </c>
      <c r="E115" s="585">
        <f>SUM('[7]Value Data'!$AJ$336:$AJ$338)/1000</f>
        <v>106.13284000000002</v>
      </c>
      <c r="F115" s="585">
        <f>SUM('[7]Value Data'!$AW$336:$AW$338)/1000</f>
        <v>599.48440999999991</v>
      </c>
      <c r="G115" s="795">
        <f>(SUM('[7]Value Data'!$AI$336:$AI$338)-SUM('[7]Value Data'!$AJ$336:$AJ$338)-SUM('[7]Value Data'!$AW$336:$AW$338)-SUM('[7]Value Data'!$AZ$336:$AZ$338))/1000</f>
        <v>402.53948000000008</v>
      </c>
      <c r="H115" s="585">
        <f>SUM('[7]Value Data'!$P$336:$P$338)/1000</f>
        <v>455.04689000000002</v>
      </c>
      <c r="I115" s="591">
        <f>SUM('[7]Value Data'!$BC$336:$BC$338)/1000</f>
        <v>19.963630000000002</v>
      </c>
      <c r="J115" s="812">
        <f t="shared" si="57"/>
        <v>-3.5527136788005009E-14</v>
      </c>
      <c r="K115" s="681"/>
      <c r="L115" s="681"/>
    </row>
    <row r="116" spans="1:12" s="671" customFormat="1" ht="15" customHeight="1" x14ac:dyDescent="0.2">
      <c r="A116" s="794" t="s">
        <v>214</v>
      </c>
      <c r="B116" s="585">
        <f t="shared" si="67"/>
        <v>2819.8685599999994</v>
      </c>
      <c r="C116" s="585">
        <f>SUM('[7]Value Data'!$D$339:$D$341)/1000</f>
        <v>1442.6745100000001</v>
      </c>
      <c r="D116" s="585">
        <f>SUM('[7]Value Data'!$AZ$339:$AZ$341)/1000</f>
        <v>53.857450000000007</v>
      </c>
      <c r="E116" s="585">
        <f>SUM('[7]Value Data'!$AJ$339:$AJ$341)/1000</f>
        <v>39.61439</v>
      </c>
      <c r="F116" s="585">
        <f>SUM('[7]Value Data'!$AW$339:$AW$341)/1000</f>
        <v>665.78125999999997</v>
      </c>
      <c r="G116" s="795">
        <f>(SUM('[7]Value Data'!$AI$339:$AI$341)-SUM('[7]Value Data'!$AJ$339:$AJ$341)-SUM('[7]Value Data'!$AW$339:$AW$341)-SUM('[7]Value Data'!$AZ$339:$AZ$341))/1000</f>
        <v>66.565639999999959</v>
      </c>
      <c r="H116" s="585">
        <f>SUM('[7]Value Data'!$P$339:$P$341)/1000</f>
        <v>531.69425000000001</v>
      </c>
      <c r="I116" s="591">
        <f>SUM('[7]Value Data'!$BC$339:$BC$341)/1000</f>
        <v>19.681059999999999</v>
      </c>
      <c r="J116" s="812">
        <f t="shared" si="57"/>
        <v>-4.5119463720766362E-13</v>
      </c>
      <c r="K116" s="681"/>
      <c r="L116" s="681"/>
    </row>
    <row r="117" spans="1:12" s="671" customFormat="1" ht="15" customHeight="1" x14ac:dyDescent="0.2">
      <c r="A117" s="794" t="s">
        <v>215</v>
      </c>
      <c r="B117" s="585">
        <f t="shared" si="67"/>
        <v>1911.42391</v>
      </c>
      <c r="C117" s="585">
        <f>SUM('[7]Value Data'!$D$342:$D$344)/1000</f>
        <v>738.9926099999999</v>
      </c>
      <c r="D117" s="585">
        <f>SUM('[7]Value Data'!$AZ$342:$AZ$344)/1000</f>
        <v>64.78813000000001</v>
      </c>
      <c r="E117" s="585">
        <f>SUM('[7]Value Data'!$AJ$342:$AJ$344)/1000</f>
        <v>72.774839999999998</v>
      </c>
      <c r="F117" s="585">
        <f>SUM('[7]Value Data'!$AW$342:$AW$344)/1000</f>
        <v>539.92834000000005</v>
      </c>
      <c r="G117" s="795">
        <f>(SUM('[7]Value Data'!$AI$342:$AI$344)-SUM('[7]Value Data'!$AJ$342:$AJ$344)-SUM('[7]Value Data'!$AW$342:$AW$344)-SUM('[7]Value Data'!$AZ$342:$AZ$344))/1000</f>
        <v>117.80336999999987</v>
      </c>
      <c r="H117" s="585">
        <f>SUM('[7]Value Data'!$P$342:$P$344)/1000</f>
        <v>358.92338999999998</v>
      </c>
      <c r="I117" s="591">
        <f>SUM('[7]Value Data'!$BC$342:$BC$344)/1000</f>
        <v>18.213229999999999</v>
      </c>
      <c r="J117" s="812">
        <f t="shared" si="57"/>
        <v>3.5171865420124959E-13</v>
      </c>
      <c r="K117" s="681"/>
      <c r="L117" s="681"/>
    </row>
    <row r="118" spans="1:12" s="671" customFormat="1" ht="15" customHeight="1" x14ac:dyDescent="0.2">
      <c r="A118" s="794" t="s">
        <v>216</v>
      </c>
      <c r="B118" s="585">
        <f t="shared" si="67"/>
        <v>1118.4622199999999</v>
      </c>
      <c r="C118" s="585">
        <f>SUM('[7]Value Data'!$D$345:$D$347)/1000</f>
        <v>513.20669999999996</v>
      </c>
      <c r="D118" s="585">
        <f>SUM('[7]Value Data'!$AZ$345:$AZ$347)/1000</f>
        <v>53.510750000000002</v>
      </c>
      <c r="E118" s="585">
        <f>SUM('[7]Value Data'!$AJ$345:$AJ$347)/1000</f>
        <v>51.798090000000002</v>
      </c>
      <c r="F118" s="585">
        <f>SUM('[7]Value Data'!$AW$345:$AW$347)/1000</f>
        <v>102.93472</v>
      </c>
      <c r="G118" s="795">
        <f>(SUM('[7]Value Data'!$AI$345:$AI$347)-SUM('[7]Value Data'!$AJ$345:$AJ$347)-SUM('[7]Value Data'!$AW$345:$AW$347)-SUM('[7]Value Data'!$AZ$345:$AZ$347))/1000</f>
        <v>39.837120000000027</v>
      </c>
      <c r="H118" s="585">
        <f>SUM('[7]Value Data'!$P$345:$P$347)/1000</f>
        <v>338.79045999999994</v>
      </c>
      <c r="I118" s="591">
        <f>SUM('[7]Value Data'!$BC$345:$BC$347)/1000</f>
        <v>18.38438</v>
      </c>
      <c r="J118" s="812">
        <f t="shared" si="57"/>
        <v>-3.5527136788005009E-14</v>
      </c>
      <c r="K118" s="681"/>
      <c r="L118" s="681"/>
    </row>
    <row r="119" spans="1:12" s="671" customFormat="1" ht="15" customHeight="1" x14ac:dyDescent="0.2">
      <c r="A119" s="794" t="s">
        <v>217</v>
      </c>
      <c r="B119" s="585">
        <f t="shared" si="67"/>
        <v>2139.9010000000003</v>
      </c>
      <c r="C119" s="585">
        <f>SUM('[7]Value Data'!$D$348:$D$350)/1000</f>
        <v>878.85030999999992</v>
      </c>
      <c r="D119" s="585">
        <f>SUM('[7]Value Data'!$AZ$348:$AZ$350)/1000</f>
        <v>86.839060000000003</v>
      </c>
      <c r="E119" s="585">
        <f>SUM('[7]Value Data'!$AJ$348:$AJ$350)/1000</f>
        <v>61.050690000000003</v>
      </c>
      <c r="F119" s="585">
        <f>SUM('[7]Value Data'!$AW$348:$AW$350)/1000</f>
        <v>467.04111999999992</v>
      </c>
      <c r="G119" s="795">
        <f>(SUM('[7]Value Data'!$AI$348:$AI$350)-SUM('[7]Value Data'!$AJ$348:$AJ$350)-SUM('[7]Value Data'!$AW$348:$AW$350)-SUM('[7]Value Data'!$AZ$348:$AZ$350))/1000</f>
        <v>71.918870000000112</v>
      </c>
      <c r="H119" s="585">
        <f>SUM('[7]Value Data'!$P$348:$P$350)/1000</f>
        <v>547.83547999999996</v>
      </c>
      <c r="I119" s="591">
        <f>SUM('[7]Value Data'!$BC$348:$BC$350)/1000</f>
        <v>26.365470000000002</v>
      </c>
      <c r="J119" s="812">
        <f t="shared" si="57"/>
        <v>5.2580162446247414E-13</v>
      </c>
      <c r="K119" s="681"/>
      <c r="L119" s="681"/>
    </row>
    <row r="120" spans="1:12" s="671" customFormat="1" ht="15" customHeight="1" x14ac:dyDescent="0.2">
      <c r="A120" s="794" t="s">
        <v>218</v>
      </c>
      <c r="B120" s="585">
        <f t="shared" si="67"/>
        <v>3614.8217299999997</v>
      </c>
      <c r="C120" s="585">
        <f>SUM('[7]Value Data'!$D$351:$D$353)/1000</f>
        <v>1560.71938</v>
      </c>
      <c r="D120" s="585">
        <f>SUM('[7]Value Data'!$AZ$351:$AZ$353)/1000</f>
        <v>101.66659999999999</v>
      </c>
      <c r="E120" s="585">
        <f>SUM('[7]Value Data'!$AJ$351:$AJ$353)/1000</f>
        <v>527.29124999999999</v>
      </c>
      <c r="F120" s="585">
        <f>SUM('[7]Value Data'!$AW$351:$AW$353)/1000</f>
        <v>227.69268</v>
      </c>
      <c r="G120" s="795">
        <f>(SUM('[7]Value Data'!$AI$351:$AI$353)-SUM('[7]Value Data'!$AJ$351:$AJ$353)-SUM('[7]Value Data'!$AW$351:$AW$353)-SUM('[7]Value Data'!$AZ$351:$AZ$353))/1000</f>
        <v>396.53995999999978</v>
      </c>
      <c r="H120" s="585">
        <f>SUM('[7]Value Data'!$P$351:$P$353)/1000</f>
        <v>781.8873000000001</v>
      </c>
      <c r="I120" s="591">
        <f>SUM('[7]Value Data'!$BC$351:$BC$353)/1000</f>
        <v>19.024560000000001</v>
      </c>
      <c r="J120" s="812">
        <f>B120-C120-D120-E120-F120-G120-H120-I120</f>
        <v>-1.6342482922482304E-13</v>
      </c>
      <c r="K120" s="681"/>
      <c r="L120" s="681"/>
    </row>
    <row r="121" spans="1:12" s="671" customFormat="1" ht="15" customHeight="1" x14ac:dyDescent="0.2">
      <c r="A121" s="794" t="s">
        <v>219</v>
      </c>
      <c r="B121" s="585">
        <f t="shared" si="67"/>
        <v>1480.6419600000002</v>
      </c>
      <c r="C121" s="585">
        <f>SUM('[7]Value Data'!$D$354:$D$356)/1000</f>
        <v>353.82877999999999</v>
      </c>
      <c r="D121" s="585">
        <f>SUM('[7]Value Data'!$AZ$354:$AZ$356)/1000</f>
        <v>54.593869999999995</v>
      </c>
      <c r="E121" s="585">
        <f>SUM('[7]Value Data'!$AJ$354:$AJ$356)/1000</f>
        <v>79.168989999999994</v>
      </c>
      <c r="F121" s="585">
        <f>SUM('[7]Value Data'!$AW$354:$AW$356)/1000</f>
        <v>208.97048999999998</v>
      </c>
      <c r="G121" s="795">
        <f>(SUM('[7]Value Data'!$AI$354:$AI$356)-SUM('[7]Value Data'!$AJ$354:$AJ$356)-SUM('[7]Value Data'!$AW$354:$AW$356)-SUM('[7]Value Data'!$AZ$354:$AZ$356))/1000</f>
        <v>134.15138000000007</v>
      </c>
      <c r="H121" s="585">
        <f>SUM('[7]Value Data'!$P$354:$P$356)/1000</f>
        <v>620.11110000000008</v>
      </c>
      <c r="I121" s="591">
        <f>SUM('[7]Value Data'!$BC$354:$BC$356)/1000</f>
        <v>29.817349999999998</v>
      </c>
      <c r="J121" s="813">
        <f t="shared" si="57"/>
        <v>3.5527136788005009E-14</v>
      </c>
      <c r="K121" s="681"/>
      <c r="L121" s="681"/>
    </row>
    <row r="122" spans="1:12" s="671" customFormat="1" ht="15" customHeight="1" x14ac:dyDescent="0.2">
      <c r="A122" s="794" t="s">
        <v>283</v>
      </c>
      <c r="B122" s="585">
        <f t="shared" si="67"/>
        <v>1628.2304099999999</v>
      </c>
      <c r="C122" s="585">
        <f>SUM('[7]Value Data'!$D$357:$D$359)/1000</f>
        <v>813.98841999999991</v>
      </c>
      <c r="D122" s="585">
        <f>SUM('[7]Value Data'!$AZ$357:$AZ$359)/1000</f>
        <v>104.56104000000001</v>
      </c>
      <c r="E122" s="585">
        <f>SUM('[7]Value Data'!$AJ$357:$AJ$359)/1000</f>
        <v>105.08897</v>
      </c>
      <c r="F122" s="585">
        <f>SUM('[7]Value Data'!$AW$357:$AW$359)/1000</f>
        <v>107.84986000000001</v>
      </c>
      <c r="G122" s="795">
        <f>(SUM('[7]Value Data'!$AI$357:$AI$359)-SUM('[7]Value Data'!$AJ$357:$AJ$359)-SUM('[7]Value Data'!$AW$357:$AW$359)-SUM('[7]Value Data'!$AZ$357:$AZ$359))/1000</f>
        <v>136.16131999999999</v>
      </c>
      <c r="H122" s="585">
        <f>SUM('[7]Value Data'!$P$357:$P$359)/1000</f>
        <v>343.97878000000003</v>
      </c>
      <c r="I122" s="591">
        <f>SUM('[7]Value Data'!$BC$357:$BC$359)/1000</f>
        <v>16.60202</v>
      </c>
      <c r="J122" s="813">
        <f t="shared" si="57"/>
        <v>-1.3145040611561853E-13</v>
      </c>
      <c r="K122" s="681"/>
      <c r="L122" s="681"/>
    </row>
    <row r="123" spans="1:12" s="671" customFormat="1" ht="15" customHeight="1" x14ac:dyDescent="0.2">
      <c r="A123" s="794" t="s">
        <v>284</v>
      </c>
      <c r="B123" s="585">
        <f t="shared" ref="B123" si="68">SUM(C123:I123)</f>
        <v>1514.2814900000001</v>
      </c>
      <c r="C123" s="585">
        <f>SUM('[7]Value Data'!$D$360:$D$362)/1000</f>
        <v>619.33262000000002</v>
      </c>
      <c r="D123" s="585">
        <f>SUM('[7]Value Data'!$AZ$360:$AZ$362)/1000</f>
        <v>62.090320000000006</v>
      </c>
      <c r="E123" s="585">
        <f>SUM('[7]Value Data'!$AJ$360:$AJ$362)/1000</f>
        <v>173.98203999999998</v>
      </c>
      <c r="F123" s="585">
        <f>SUM('[7]Value Data'!$AW$360:$AW$362)/1000</f>
        <v>47.054569999999998</v>
      </c>
      <c r="G123" s="795">
        <f>(SUM('[7]Value Data'!$AI$360:$AI$362)-SUM('[7]Value Data'!$AJ$360:$AJ$362)-SUM('[7]Value Data'!$AW$360:$AW$362)-SUM('[7]Value Data'!$AZ$360:$AZ$362))/1000</f>
        <v>119.42251000000007</v>
      </c>
      <c r="H123" s="585">
        <f>SUM('[7]Value Data'!$P$360:$P$362)/1000</f>
        <v>475.06846000000002</v>
      </c>
      <c r="I123" s="591">
        <f>SUM('[7]Value Data'!$BC$360:$BC$362)/1000</f>
        <v>17.330970000000001</v>
      </c>
      <c r="J123" s="813">
        <f t="shared" si="57"/>
        <v>-7.815970093361102E-14</v>
      </c>
      <c r="K123" s="681"/>
      <c r="L123" s="681"/>
    </row>
    <row r="124" spans="1:12" s="671" customFormat="1" ht="15" customHeight="1" x14ac:dyDescent="0.2">
      <c r="A124" s="794" t="s">
        <v>287</v>
      </c>
      <c r="B124" s="585">
        <f t="shared" ref="B124" si="69">SUM(C124:I124)</f>
        <v>1770.7267899999999</v>
      </c>
      <c r="C124" s="585">
        <f>SUM('[7]Value Data'!$D$363:$D$365)/1000</f>
        <v>813.2638199999999</v>
      </c>
      <c r="D124" s="585">
        <f>SUM('[7]Value Data'!$AZ$363:$AZ$365)/1000</f>
        <v>95.728449999999995</v>
      </c>
      <c r="E124" s="585">
        <f>SUM('[7]Value Data'!$AJ$363:$AJ$365)/1000</f>
        <v>147.5549</v>
      </c>
      <c r="F124" s="585">
        <f>SUM('[7]Value Data'!$AW$363:$AW$365)/1000</f>
        <v>53.988039999999991</v>
      </c>
      <c r="G124" s="795">
        <f>(SUM('[7]Value Data'!$AI$363:$AI$365)-SUM('[7]Value Data'!$AJ$363:$AJ$365)-SUM('[7]Value Data'!$AW$363:$AW$365)-SUM('[7]Value Data'!$AZ$363:$AZ$365))/1000</f>
        <v>118.74069000000007</v>
      </c>
      <c r="H124" s="585">
        <f>SUM('[7]Value Data'!$P$363:$P$365)/1000</f>
        <v>523.38116000000002</v>
      </c>
      <c r="I124" s="591">
        <f>SUM('[7]Value Data'!$BC$363:$BC$365)/1000</f>
        <v>18.06973</v>
      </c>
      <c r="J124" s="813">
        <f t="shared" si="57"/>
        <v>4.9737991503207013E-14</v>
      </c>
      <c r="K124" s="681"/>
      <c r="L124" s="681"/>
    </row>
    <row r="125" spans="1:12" s="671" customFormat="1" ht="15" customHeight="1" x14ac:dyDescent="0.2">
      <c r="A125" s="794" t="s">
        <v>301</v>
      </c>
      <c r="B125" s="585">
        <f t="shared" ref="B125" si="70">SUM(C125:I125)</f>
        <v>1056.5586799999999</v>
      </c>
      <c r="C125" s="585">
        <f>SUM('[7]Value Data'!$D$366:$D$368)/1000</f>
        <v>388.58729000000005</v>
      </c>
      <c r="D125" s="585">
        <f>SUM('[7]Value Data'!$AZ$366:$AZ$368)/1000</f>
        <v>21.987869999999997</v>
      </c>
      <c r="E125" s="585">
        <f>SUM('[7]Value Data'!$AJ$366:$AJ$368)/1000</f>
        <v>77.450450000000018</v>
      </c>
      <c r="F125" s="585">
        <f>SUM('[7]Value Data'!$AW$366:$AW$368)/1000</f>
        <v>200.23068000000004</v>
      </c>
      <c r="G125" s="795">
        <f>(SUM('[7]Value Data'!$AI$366:$AI$368)-SUM('[7]Value Data'!$AJ$366:$AJ$368)-SUM('[7]Value Data'!$AW$366:$AW$368)-SUM('[7]Value Data'!$AZ$366:$AZ$368))/1000</f>
        <v>41.459949999999985</v>
      </c>
      <c r="H125" s="585">
        <f>SUM('[7]Value Data'!$P$366:$P$368)/1000</f>
        <v>320.84889000000004</v>
      </c>
      <c r="I125" s="591">
        <f>SUM('[7]Value Data'!$BC$366:$BC$368)/1000</f>
        <v>5.9935499999999999</v>
      </c>
      <c r="J125" s="814">
        <f t="shared" si="57"/>
        <v>-3.1352698215414421E-13</v>
      </c>
      <c r="K125" s="681"/>
      <c r="L125" s="681"/>
    </row>
    <row r="126" spans="1:12" s="671" customFormat="1" ht="15" customHeight="1" x14ac:dyDescent="0.2">
      <c r="A126" s="808" t="s">
        <v>303</v>
      </c>
      <c r="B126" s="585">
        <f t="shared" ref="B126" si="71">SUM(C126:I126)</f>
        <v>1590.8571300000001</v>
      </c>
      <c r="C126" s="585">
        <f>SUM('[7]Value Data'!$D$369:$D$371)/1000</f>
        <v>387.63855000000001</v>
      </c>
      <c r="D126" s="585">
        <f>SUM('[7]Value Data'!$AZ$369:$AZ$371)/1000</f>
        <v>56.179400000000001</v>
      </c>
      <c r="E126" s="585">
        <f>SUM('[7]Value Data'!$AJ$369:$AJ$371)/1000</f>
        <v>84.499870000000001</v>
      </c>
      <c r="F126" s="585">
        <f>SUM('[7]Value Data'!$AW$369:$AW$371)/1000</f>
        <v>245.87795</v>
      </c>
      <c r="G126" s="795">
        <f>(SUM('[7]Value Data'!$AI$369:$AI$371)-SUM('[7]Value Data'!$AJ$369:$AJ$371)-SUM('[7]Value Data'!$AW$369:$AW$371)-SUM('[7]Value Data'!$AZ$369:$AZ$371))/1000</f>
        <v>112.59979000000001</v>
      </c>
      <c r="H126" s="585">
        <f>SUM('[7]Value Data'!$P$369:$P$371)/1000</f>
        <v>693.1315699999999</v>
      </c>
      <c r="I126" s="591">
        <f>SUM('[7]Value Data'!$BC$369:$BC$371)/1000</f>
        <v>10.93</v>
      </c>
      <c r="J126" s="814">
        <f t="shared" si="57"/>
        <v>1.7763568394002505E-13</v>
      </c>
      <c r="K126" s="681"/>
      <c r="L126" s="681"/>
    </row>
    <row r="127" spans="1:12" s="671" customFormat="1" ht="15" customHeight="1" x14ac:dyDescent="0.2">
      <c r="A127" s="808" t="s">
        <v>305</v>
      </c>
      <c r="B127" s="585">
        <f t="shared" ref="B127" si="72">SUM(C127:I127)</f>
        <v>1840.82573</v>
      </c>
      <c r="C127" s="585">
        <f>SUM('[7]Value Data'!$D$372:$D$374)/1000</f>
        <v>602.24725000000001</v>
      </c>
      <c r="D127" s="585">
        <f>SUM('[7]Value Data'!$AZ$372:$AZ$374)/1000</f>
        <v>67.467369999999988</v>
      </c>
      <c r="E127" s="585">
        <f>SUM('[7]Value Data'!$AJ$372:$AJ$374)/1000</f>
        <v>62.806750000000001</v>
      </c>
      <c r="F127" s="585">
        <f>SUM('[7]Value Data'!$AW$372:$AW$374)/1000</f>
        <v>206.65379999999999</v>
      </c>
      <c r="G127" s="795">
        <f>(SUM('[7]Value Data'!$AI$372:$AI$374)-SUM('[7]Value Data'!$AJ$372:$AJ$374)-SUM('[7]Value Data'!$AW$372:$AW$374)-SUM('[7]Value Data'!$AZ$372:$AZ$374))/1000</f>
        <v>102.45015000000008</v>
      </c>
      <c r="H127" s="585">
        <f>SUM('[7]Value Data'!$P$372:$P$374)/1000</f>
        <v>782.51540999999986</v>
      </c>
      <c r="I127" s="591">
        <f>SUM('[7]Value Data'!$BC$372:$BC$374)/1000</f>
        <v>16.684999999999999</v>
      </c>
      <c r="J127" s="814">
        <f t="shared" ref="J127" si="73">B127-C127-D127-E127-F127-G127-H127-I127</f>
        <v>6.0396132539608516E-14</v>
      </c>
      <c r="K127" s="681"/>
      <c r="L127" s="681"/>
    </row>
    <row r="128" spans="1:12" s="671" customFormat="1" ht="15" customHeight="1" x14ac:dyDescent="0.2">
      <c r="A128" s="808" t="s">
        <v>306</v>
      </c>
      <c r="B128" s="585">
        <f t="shared" ref="B128:B130" si="74">SUM(C128:I128)</f>
        <v>2261.6945399999995</v>
      </c>
      <c r="C128" s="585">
        <f>SUM('[7]Value Data'!$D$375:$D$377)/1000</f>
        <v>673.24807999999996</v>
      </c>
      <c r="D128" s="585">
        <f>SUM('[7]Value Data'!$AZ$375:$AZ$377)/1000</f>
        <v>166.62875</v>
      </c>
      <c r="E128" s="585">
        <f>SUM('[7]Value Data'!$AJ$375:$AJ$377)/1000</f>
        <v>69.68347</v>
      </c>
      <c r="F128" s="585">
        <f>SUM('[7]Value Data'!$AW$375:$AW$377)/1000</f>
        <v>219.7971</v>
      </c>
      <c r="G128" s="795">
        <f>(SUM('[7]Value Data'!$AI$375:$AI$377)-SUM('[7]Value Data'!$AJ$375:$AJ$377)-SUM('[7]Value Data'!$AW$375:$AW$377)-SUM('[7]Value Data'!$AZ$375:$AZ$377))/1000</f>
        <v>88.606320000000039</v>
      </c>
      <c r="H128" s="585">
        <f>SUM('[7]Value Data'!$P$375:$P$377)/1000</f>
        <v>1031.22282</v>
      </c>
      <c r="I128" s="591">
        <f>SUM('[7]Value Data'!$BC$375:$BC$377)/1000</f>
        <v>12.507999999999999</v>
      </c>
      <c r="J128" s="814">
        <f t="shared" ref="J128:J130" si="75">B128-C128-D128-E128-F128-G128-H128-I128</f>
        <v>-4.1566750041965861E-13</v>
      </c>
      <c r="K128" s="681"/>
      <c r="L128" s="681"/>
    </row>
    <row r="129" spans="1:15" s="671" customFormat="1" ht="15" customHeight="1" x14ac:dyDescent="0.2">
      <c r="A129" s="808" t="s">
        <v>313</v>
      </c>
      <c r="B129" s="585">
        <f t="shared" si="74"/>
        <v>1848.3588399999996</v>
      </c>
      <c r="C129" s="585">
        <f>SUM('[7]Value Data'!$D$378:$D$380)/1000</f>
        <v>736.13181000000009</v>
      </c>
      <c r="D129" s="585">
        <f>SUM('[7]Value Data'!$AZ$378:$AZ$380)/1000</f>
        <v>71.199399999999997</v>
      </c>
      <c r="E129" s="585">
        <f>SUM('[7]Value Data'!$AJ$378:$AJ$380)/1000</f>
        <v>48.172930000000001</v>
      </c>
      <c r="F129" s="585">
        <f>SUM('[7]Value Data'!$AW$378:$AW$380)/1000</f>
        <v>381.81774999999999</v>
      </c>
      <c r="G129" s="795">
        <f>(SUM('[7]Value Data'!$AI$378:$AI$380)-SUM('[7]Value Data'!$AJ$378:$AJ$380)-SUM('[7]Value Data'!$AW$378:$AW$380)-SUM('[7]Value Data'!$AZ$378:$AZ$380))/1000</f>
        <v>124.29030999999985</v>
      </c>
      <c r="H129" s="585">
        <f>SUM('[7]Value Data'!$P$378:$P$380)/1000</f>
        <v>450.78444999999994</v>
      </c>
      <c r="I129" s="591">
        <f>SUM('[7]Value Data'!$BC$378:$BC$380)/1000</f>
        <v>35.96219</v>
      </c>
      <c r="J129" s="814">
        <f t="shared" si="75"/>
        <v>-9.2370555648813024E-14</v>
      </c>
      <c r="K129" s="681"/>
      <c r="L129" s="681"/>
    </row>
    <row r="130" spans="1:15" s="671" customFormat="1" ht="15" customHeight="1" x14ac:dyDescent="0.2">
      <c r="A130" s="798" t="s">
        <v>315</v>
      </c>
      <c r="B130" s="596">
        <f t="shared" si="74"/>
        <v>2291.03548</v>
      </c>
      <c r="C130" s="596">
        <f>SUM('[7]Value Data'!$D$381:$D$383)/1000</f>
        <v>850.00099999999998</v>
      </c>
      <c r="D130" s="596">
        <f>SUM('[7]Value Data'!$AZ$381:$AZ$383)/1000</f>
        <v>77.717399999999998</v>
      </c>
      <c r="E130" s="596">
        <f>SUM('[7]Value Data'!$AJ$381:$AJ$383)/1000</f>
        <v>109.16345000000001</v>
      </c>
      <c r="F130" s="596">
        <f>SUM('[7]Value Data'!$AW$381:$AW$383)/1000</f>
        <v>283.70605</v>
      </c>
      <c r="G130" s="796">
        <f>(SUM('[7]Value Data'!$AI$381:$AI$383)-SUM('[7]Value Data'!$AJ$381:$AJ$383)-SUM('[7]Value Data'!$AW$381:$AW$383)-SUM('[7]Value Data'!$AZ$381:$AZ$383))/1000</f>
        <v>168.18203</v>
      </c>
      <c r="H130" s="596">
        <f>SUM('[7]Value Data'!$P$381:$P$383)/1000</f>
        <v>763.9855500000001</v>
      </c>
      <c r="I130" s="797">
        <f>SUM('[7]Value Data'!$BC$381:$BC$383)/1000</f>
        <v>38.28</v>
      </c>
      <c r="J130" s="814">
        <f t="shared" si="75"/>
        <v>0</v>
      </c>
      <c r="K130" s="681"/>
      <c r="L130" s="681" t="s">
        <v>320</v>
      </c>
      <c r="O130" s="681"/>
    </row>
    <row r="131" spans="1:15" s="717" customFormat="1" ht="15" customHeight="1" x14ac:dyDescent="0.3">
      <c r="A131" s="713" t="s">
        <v>196</v>
      </c>
      <c r="B131" s="714"/>
      <c r="C131" s="715"/>
      <c r="D131" s="716"/>
      <c r="E131" s="716"/>
      <c r="F131" s="716"/>
      <c r="G131" s="716"/>
      <c r="H131" s="716"/>
      <c r="I131" s="716"/>
      <c r="J131" s="712"/>
      <c r="K131" s="799"/>
      <c r="L131" s="799"/>
    </row>
    <row r="132" spans="1:15" x14ac:dyDescent="0.2">
      <c r="A132" s="789" t="s">
        <v>286</v>
      </c>
      <c r="J132" s="792"/>
      <c r="K132" s="601"/>
    </row>
    <row r="133" spans="1:15" x14ac:dyDescent="0.2">
      <c r="L133" s="42"/>
    </row>
    <row r="134" spans="1:15" x14ac:dyDescent="0.2">
      <c r="K134" s="601"/>
    </row>
    <row r="139" spans="1:15" x14ac:dyDescent="0.2">
      <c r="G139" s="626"/>
    </row>
  </sheetData>
  <mergeCells count="1">
    <mergeCell ref="A2:I2"/>
  </mergeCells>
  <phoneticPr fontId="2" type="noConversion"/>
  <printOptions gridLinesSet="0"/>
  <pageMargins left="0.59055118110236204" right="1.03" top="0.59055118110236204" bottom="1.83" header="0.5" footer="0.5"/>
  <pageSetup paperSize="9" scale="69" orientation="portrait" r:id="rId1"/>
  <headerFooter alignWithMargins="0"/>
  <ignoredErrors>
    <ignoredError sqref="B27 F27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C43" transitionEvaluation="1"/>
  <dimension ref="A1:BE69"/>
  <sheetViews>
    <sheetView showGridLines="0" showOutlineSymbols="0" zoomScaleNormal="100" workbookViewId="0">
      <pane xSplit="2" ySplit="6" topLeftCell="C43" activePane="bottomRight" state="frozen"/>
      <selection activeCell="F113" sqref="F113"/>
      <selection pane="topRight" activeCell="F113" sqref="F113"/>
      <selection pane="bottomLeft" activeCell="F113" sqref="F113"/>
      <selection pane="bottomRight" activeCell="G58" sqref="G58"/>
    </sheetView>
  </sheetViews>
  <sheetFormatPr defaultColWidth="14" defaultRowHeight="10.199999999999999" outlineLevelRow="1" x14ac:dyDescent="0.2"/>
  <cols>
    <col min="1" max="1" width="8" style="12" customWidth="1"/>
    <col min="2" max="2" width="5.33203125" style="12" customWidth="1"/>
    <col min="3" max="3" width="10.83203125" style="12" bestFit="1" customWidth="1"/>
    <col min="4" max="4" width="12" style="12" customWidth="1"/>
    <col min="5" max="6" width="13" style="12" customWidth="1"/>
    <col min="7" max="9" width="12" style="12" customWidth="1"/>
    <col min="10" max="10" width="14" style="12" customWidth="1"/>
    <col min="11" max="11" width="14" style="12"/>
    <col min="12" max="12" width="13" style="12" customWidth="1"/>
    <col min="13" max="46" width="14" style="12"/>
    <col min="47" max="47" width="1" style="12" customWidth="1"/>
    <col min="48" max="48" width="5.6640625" style="12" hidden="1" customWidth="1"/>
    <col min="49" max="49" width="4.33203125" style="12" hidden="1" customWidth="1"/>
    <col min="50" max="50" width="4.83203125" style="12" hidden="1" customWidth="1"/>
    <col min="51" max="51" width="4.1640625" style="12" hidden="1" customWidth="1"/>
    <col min="52" max="52" width="4" style="12" hidden="1" customWidth="1"/>
    <col min="53" max="53" width="4.33203125" style="12" hidden="1" customWidth="1"/>
    <col min="54" max="54" width="5" style="12" hidden="1" customWidth="1"/>
    <col min="55" max="55" width="5.33203125" style="12" hidden="1" customWidth="1"/>
    <col min="56" max="56" width="5.83203125" style="12" hidden="1" customWidth="1"/>
    <col min="57" max="57" width="4.6640625" style="12" hidden="1" customWidth="1"/>
    <col min="58" max="16384" width="14" style="12"/>
  </cols>
  <sheetData>
    <row r="1" spans="1:50" ht="20.100000000000001" customHeight="1" x14ac:dyDescent="0.2">
      <c r="A1" s="485" t="s">
        <v>51</v>
      </c>
    </row>
    <row r="2" spans="1:50" ht="15" customHeight="1" x14ac:dyDescent="0.25">
      <c r="A2" s="13" t="s">
        <v>150</v>
      </c>
      <c r="B2" s="13"/>
      <c r="C2" s="14"/>
      <c r="D2" s="14"/>
      <c r="E2" s="14"/>
      <c r="F2" s="14"/>
      <c r="G2" s="14"/>
      <c r="H2" s="14"/>
      <c r="I2" s="14"/>
      <c r="J2" s="14"/>
    </row>
    <row r="3" spans="1:50" ht="18" customHeight="1" x14ac:dyDescent="0.2">
      <c r="A3" s="15"/>
      <c r="B3" s="15"/>
      <c r="C3" s="16"/>
      <c r="D3" s="16"/>
      <c r="E3" s="16"/>
      <c r="F3" s="16"/>
      <c r="G3" s="16"/>
      <c r="H3" s="16"/>
      <c r="I3" s="16"/>
      <c r="J3" s="16"/>
      <c r="L3" s="597">
        <f>6396-97</f>
        <v>6299</v>
      </c>
    </row>
    <row r="4" spans="1:50" ht="15" customHeight="1" x14ac:dyDescent="0.2">
      <c r="A4" s="15"/>
      <c r="B4" s="15"/>
      <c r="C4" s="16"/>
      <c r="D4" s="16"/>
      <c r="E4" s="16"/>
      <c r="F4" s="16"/>
      <c r="G4" s="16"/>
      <c r="H4" s="16"/>
      <c r="I4" s="16"/>
      <c r="J4" s="16"/>
    </row>
    <row r="5" spans="1:50" ht="15" customHeight="1" x14ac:dyDescent="0.2">
      <c r="A5" s="17" t="s">
        <v>6</v>
      </c>
      <c r="B5" s="18"/>
      <c r="C5" s="19" t="s">
        <v>39</v>
      </c>
      <c r="D5" s="19" t="s">
        <v>40</v>
      </c>
      <c r="E5" s="19" t="s">
        <v>41</v>
      </c>
      <c r="F5" s="19" t="s">
        <v>42</v>
      </c>
      <c r="G5" s="19" t="s">
        <v>43</v>
      </c>
      <c r="H5" s="19" t="s">
        <v>44</v>
      </c>
      <c r="I5" s="19" t="s">
        <v>45</v>
      </c>
      <c r="J5" s="20" t="s">
        <v>46</v>
      </c>
    </row>
    <row r="6" spans="1:50" ht="15" customHeight="1" x14ac:dyDescent="0.2">
      <c r="A6" s="21"/>
      <c r="B6" s="22"/>
      <c r="C6" s="23"/>
      <c r="D6" s="24" t="s">
        <v>47</v>
      </c>
      <c r="E6" s="23"/>
      <c r="F6" s="23"/>
      <c r="G6" s="23"/>
      <c r="H6" s="24" t="s">
        <v>48</v>
      </c>
      <c r="I6" s="23"/>
      <c r="J6" s="25"/>
    </row>
    <row r="7" spans="1:50" s="277" customFormat="1" ht="14.25" hidden="1" customHeight="1" outlineLevel="1" x14ac:dyDescent="0.2">
      <c r="A7" s="359" t="s">
        <v>25</v>
      </c>
      <c r="B7" s="37"/>
      <c r="C7" s="404">
        <f>SUM(D7:J7)</f>
        <v>100.93600000000001</v>
      </c>
      <c r="D7" s="404">
        <f>[1]Bul_ann!$B$123/1000</f>
        <v>21.892600000000002</v>
      </c>
      <c r="E7" s="404">
        <f>[1]Bul_ann!$B$165/1000</f>
        <v>24.9236</v>
      </c>
      <c r="F7" s="404">
        <f>[1]Bul_ann!$B$129/1000</f>
        <v>31.436599999999999</v>
      </c>
      <c r="G7" s="404">
        <f>[1]Bul_ann!$B$146/1000</f>
        <v>0</v>
      </c>
      <c r="H7" s="404">
        <f>[1]Bul_ann!$B$144/1000</f>
        <v>14.1286</v>
      </c>
      <c r="I7" s="404">
        <f>[1]Bul_ann!$B$161/1000</f>
        <v>6.3593999999999999</v>
      </c>
      <c r="J7" s="484">
        <f>[1]Bul_ann!$B$135/1000</f>
        <v>2.1952000000000003</v>
      </c>
      <c r="L7" s="38"/>
      <c r="T7" s="360"/>
      <c r="AD7" s="360"/>
      <c r="AX7" s="360"/>
    </row>
    <row r="8" spans="1:50" s="277" customFormat="1" ht="14.25" hidden="1" customHeight="1" outlineLevel="1" x14ac:dyDescent="0.2">
      <c r="A8" s="359" t="s">
        <v>26</v>
      </c>
      <c r="B8" s="37"/>
      <c r="C8" s="404">
        <f>SUM(D8:J8)</f>
        <v>127.32227999999999</v>
      </c>
      <c r="D8" s="404">
        <f>[1]Bul_ann!$C$123/1000</f>
        <v>17.811959999999999</v>
      </c>
      <c r="E8" s="404">
        <f>[1]Bul_ann!$C$165/1000</f>
        <v>43.427479999999996</v>
      </c>
      <c r="F8" s="404">
        <f>[1]Bul_ann!$C$129/1000</f>
        <v>39.221699999999998</v>
      </c>
      <c r="G8" s="404">
        <f>[1]Bul_ann!$C$146/1000</f>
        <v>0</v>
      </c>
      <c r="H8" s="404">
        <f>[1]Bul_ann!$C$144/1000</f>
        <v>15.446080000000002</v>
      </c>
      <c r="I8" s="404">
        <f>[1]Bul_ann!$C$161/1000</f>
        <v>10.065</v>
      </c>
      <c r="J8" s="407">
        <f>[1]Bul_ann!$C$135/1000</f>
        <v>1.35006</v>
      </c>
      <c r="L8" s="38"/>
      <c r="T8" s="360"/>
      <c r="AD8" s="360"/>
      <c r="AX8" s="360"/>
    </row>
    <row r="9" spans="1:50" ht="14.25" hidden="1" customHeight="1" outlineLevel="1" x14ac:dyDescent="0.2">
      <c r="A9" s="359" t="s">
        <v>111</v>
      </c>
      <c r="B9" s="37"/>
      <c r="C9" s="404">
        <v>3260.6543999999999</v>
      </c>
      <c r="D9" s="404">
        <v>1284.1843999999999</v>
      </c>
      <c r="E9" s="404">
        <v>129.44949999999997</v>
      </c>
      <c r="F9" s="404">
        <v>181.89510000000001</v>
      </c>
      <c r="G9" s="404">
        <v>677.25199999999995</v>
      </c>
      <c r="H9" s="404">
        <v>179.28819999999999</v>
      </c>
      <c r="I9" s="404">
        <v>789.68200000000002</v>
      </c>
      <c r="J9" s="407">
        <v>18.903200000000002</v>
      </c>
      <c r="L9" s="38"/>
      <c r="T9" s="39"/>
      <c r="AD9" s="39"/>
      <c r="AX9" s="39"/>
    </row>
    <row r="10" spans="1:50" ht="14.25" customHeight="1" collapsed="1" x14ac:dyDescent="0.2">
      <c r="A10" s="359" t="s">
        <v>121</v>
      </c>
      <c r="B10" s="37"/>
      <c r="C10" s="404">
        <v>3507.20093</v>
      </c>
      <c r="D10" s="404">
        <v>1783.3133499999999</v>
      </c>
      <c r="E10" s="404">
        <v>141.6294</v>
      </c>
      <c r="F10" s="404">
        <v>184.30629999999999</v>
      </c>
      <c r="G10" s="404">
        <v>447.07340000000005</v>
      </c>
      <c r="H10" s="404">
        <v>170.50437999999997</v>
      </c>
      <c r="I10" s="404">
        <v>710.67419999999993</v>
      </c>
      <c r="J10" s="407">
        <v>69.6999</v>
      </c>
      <c r="L10" s="38"/>
      <c r="T10" s="39"/>
      <c r="AD10" s="39"/>
      <c r="AX10" s="39"/>
    </row>
    <row r="11" spans="1:50" ht="14.25" customHeight="1" x14ac:dyDescent="0.2">
      <c r="A11" s="359" t="s">
        <v>122</v>
      </c>
      <c r="B11" s="37"/>
      <c r="C11" s="404">
        <v>3267.75765</v>
      </c>
      <c r="D11" s="404">
        <v>1958.1300499999998</v>
      </c>
      <c r="E11" s="404">
        <v>134.0136</v>
      </c>
      <c r="F11" s="404">
        <v>100.34770000000002</v>
      </c>
      <c r="G11" s="404">
        <v>412.80759999999992</v>
      </c>
      <c r="H11" s="404">
        <v>181.023</v>
      </c>
      <c r="I11" s="404">
        <v>455.64639999999997</v>
      </c>
      <c r="J11" s="407">
        <v>25.789300000000001</v>
      </c>
      <c r="L11" s="38"/>
      <c r="T11" s="39"/>
      <c r="AD11" s="39"/>
      <c r="AX11" s="39"/>
    </row>
    <row r="12" spans="1:50" ht="14.25" customHeight="1" x14ac:dyDescent="0.2">
      <c r="A12" s="359" t="s">
        <v>133</v>
      </c>
      <c r="B12" s="27"/>
      <c r="C12" s="404">
        <v>2352.6569000000004</v>
      </c>
      <c r="D12" s="404">
        <v>1306.356</v>
      </c>
      <c r="E12" s="404">
        <v>132.7978</v>
      </c>
      <c r="F12" s="404">
        <v>75.284000000000006</v>
      </c>
      <c r="G12" s="404">
        <v>382.57099999999997</v>
      </c>
      <c r="H12" s="404">
        <v>107.7672</v>
      </c>
      <c r="I12" s="404">
        <v>334.24710000000005</v>
      </c>
      <c r="J12" s="407">
        <v>13.633800000000001</v>
      </c>
      <c r="L12" s="34"/>
    </row>
    <row r="13" spans="1:50" ht="14.25" customHeight="1" x14ac:dyDescent="0.2">
      <c r="A13" s="359" t="s">
        <v>148</v>
      </c>
      <c r="B13" s="27"/>
      <c r="C13" s="404">
        <v>1208.4008000000001</v>
      </c>
      <c r="D13" s="404">
        <v>567.59420000000011</v>
      </c>
      <c r="E13" s="404">
        <v>109.85959999999999</v>
      </c>
      <c r="F13" s="404">
        <v>33.875500000000002</v>
      </c>
      <c r="G13" s="404">
        <v>238.20150000000004</v>
      </c>
      <c r="H13" s="404">
        <v>21.336400000000001</v>
      </c>
      <c r="I13" s="404">
        <v>231.2122</v>
      </c>
      <c r="J13" s="407">
        <v>6.3214000000000006</v>
      </c>
      <c r="L13" s="34"/>
    </row>
    <row r="14" spans="1:50" ht="14.25" customHeight="1" x14ac:dyDescent="0.2">
      <c r="A14" s="359" t="s">
        <v>149</v>
      </c>
      <c r="B14" s="27"/>
      <c r="C14" s="404">
        <f t="shared" ref="C14:J14" si="0">SUM(C54:C58)</f>
        <v>742.0431900000001</v>
      </c>
      <c r="D14" s="404">
        <f t="shared" si="0"/>
        <v>407.57112000000001</v>
      </c>
      <c r="E14" s="404">
        <f t="shared" si="0"/>
        <v>117.26092</v>
      </c>
      <c r="F14" s="404">
        <f t="shared" si="0"/>
        <v>35.590980000000002</v>
      </c>
      <c r="G14" s="404">
        <f t="shared" si="0"/>
        <v>30.1265</v>
      </c>
      <c r="H14" s="404">
        <f t="shared" si="0"/>
        <v>42.82508</v>
      </c>
      <c r="I14" s="404">
        <f t="shared" si="0"/>
        <v>106.98833999999998</v>
      </c>
      <c r="J14" s="407">
        <f t="shared" si="0"/>
        <v>1.68025</v>
      </c>
      <c r="L14" s="34"/>
    </row>
    <row r="15" spans="1:50" ht="14.25" customHeight="1" x14ac:dyDescent="0.2">
      <c r="A15" s="4" t="s">
        <v>152</v>
      </c>
      <c r="B15" s="27"/>
      <c r="C15" s="404">
        <f t="shared" ref="C15:J15" si="1">SUM(C59:C63)</f>
        <v>225.22809999999998</v>
      </c>
      <c r="D15" s="404">
        <f t="shared" si="1"/>
        <v>74.786900000000003</v>
      </c>
      <c r="E15" s="404">
        <f t="shared" si="1"/>
        <v>0</v>
      </c>
      <c r="F15" s="404">
        <f t="shared" si="1"/>
        <v>11.459099999999999</v>
      </c>
      <c r="G15" s="404">
        <f t="shared" si="1"/>
        <v>0.41440000000000005</v>
      </c>
      <c r="H15" s="404">
        <f t="shared" si="1"/>
        <v>5.6159999999999997</v>
      </c>
      <c r="I15" s="404">
        <f t="shared" si="1"/>
        <v>72.202299999999994</v>
      </c>
      <c r="J15" s="407">
        <f t="shared" si="1"/>
        <v>60.749399999999994</v>
      </c>
      <c r="L15" s="34"/>
    </row>
    <row r="16" spans="1:50" ht="16.5" hidden="1" customHeight="1" outlineLevel="1" x14ac:dyDescent="0.2">
      <c r="A16" s="47">
        <v>1994</v>
      </c>
      <c r="B16" s="27"/>
      <c r="C16" s="404"/>
      <c r="D16" s="404"/>
      <c r="E16" s="404"/>
      <c r="F16" s="404"/>
      <c r="G16" s="404"/>
      <c r="H16" s="404"/>
      <c r="I16" s="404"/>
      <c r="J16" s="407"/>
      <c r="L16" s="34"/>
    </row>
    <row r="17" spans="1:12" ht="16.5" hidden="1" customHeight="1" outlineLevel="1" x14ac:dyDescent="0.2">
      <c r="A17" s="45" t="s">
        <v>27</v>
      </c>
      <c r="B17" s="27"/>
      <c r="C17" s="404">
        <v>453.42739999999992</v>
      </c>
      <c r="D17" s="404">
        <v>136.93799999999996</v>
      </c>
      <c r="E17" s="404">
        <v>15.137</v>
      </c>
      <c r="F17" s="404">
        <v>63.1282</v>
      </c>
      <c r="G17" s="404">
        <v>117.0192</v>
      </c>
      <c r="H17" s="404">
        <v>30.854299999999999</v>
      </c>
      <c r="I17" s="404">
        <v>87.51209999999999</v>
      </c>
      <c r="J17" s="407">
        <v>2.8386</v>
      </c>
      <c r="L17" s="34"/>
    </row>
    <row r="18" spans="1:12" ht="16.5" hidden="1" customHeight="1" outlineLevel="1" x14ac:dyDescent="0.2">
      <c r="A18" s="41" t="s">
        <v>28</v>
      </c>
      <c r="B18" s="27"/>
      <c r="C18" s="404">
        <v>726.00845000000015</v>
      </c>
      <c r="D18" s="404">
        <v>329.19215000000003</v>
      </c>
      <c r="E18" s="404">
        <v>28.570799999999998</v>
      </c>
      <c r="F18" s="404">
        <v>48.127600000000001</v>
      </c>
      <c r="G18" s="404">
        <v>102.414</v>
      </c>
      <c r="H18" s="404">
        <v>87.918299999999988</v>
      </c>
      <c r="I18" s="404">
        <v>117.08779999999999</v>
      </c>
      <c r="J18" s="407">
        <v>12.697799999999999</v>
      </c>
      <c r="L18" s="34"/>
    </row>
    <row r="19" spans="1:12" ht="16.5" hidden="1" customHeight="1" outlineLevel="1" x14ac:dyDescent="0.2">
      <c r="A19" s="41" t="s">
        <v>29</v>
      </c>
      <c r="B19" s="27"/>
      <c r="C19" s="404">
        <v>929.95905000000016</v>
      </c>
      <c r="D19" s="404">
        <v>578.18715000000009</v>
      </c>
      <c r="E19" s="404">
        <v>25.485400000000002</v>
      </c>
      <c r="F19" s="404">
        <v>29.087599999999998</v>
      </c>
      <c r="G19" s="404">
        <v>92.37299999999999</v>
      </c>
      <c r="H19" s="404">
        <v>26.655800000000003</v>
      </c>
      <c r="I19" s="404">
        <v>174.90530000000001</v>
      </c>
      <c r="J19" s="407">
        <v>3.2648000000000001</v>
      </c>
      <c r="L19" s="34"/>
    </row>
    <row r="20" spans="1:12" hidden="1" outlineLevel="1" x14ac:dyDescent="0.2">
      <c r="A20" s="46" t="s">
        <v>30</v>
      </c>
      <c r="B20" s="240"/>
      <c r="C20" s="404">
        <v>1016.7083</v>
      </c>
      <c r="D20" s="404">
        <v>510.37420000000009</v>
      </c>
      <c r="E20" s="404">
        <v>22.545000000000002</v>
      </c>
      <c r="F20" s="404">
        <v>49.939799999999998</v>
      </c>
      <c r="G20" s="404">
        <v>209.06240000000003</v>
      </c>
      <c r="H20" s="404">
        <v>99.235900000000001</v>
      </c>
      <c r="I20" s="404">
        <v>124.01389999999998</v>
      </c>
      <c r="J20" s="407">
        <v>1.5371000000000001</v>
      </c>
      <c r="L20" s="38"/>
    </row>
    <row r="21" spans="1:12" ht="15" hidden="1" customHeight="1" outlineLevel="1" x14ac:dyDescent="0.2">
      <c r="A21" s="47">
        <v>1995</v>
      </c>
      <c r="B21" s="27"/>
      <c r="C21" s="404"/>
      <c r="D21" s="404"/>
      <c r="E21" s="404"/>
      <c r="F21" s="404"/>
      <c r="G21" s="404"/>
      <c r="H21" s="404"/>
      <c r="I21" s="404"/>
      <c r="J21" s="407"/>
      <c r="L21" s="34"/>
    </row>
    <row r="22" spans="1:12" s="277" customFormat="1" ht="14.4" hidden="1" customHeight="1" outlineLevel="1" x14ac:dyDescent="0.2">
      <c r="A22" s="300" t="s">
        <v>27</v>
      </c>
      <c r="B22" s="240"/>
      <c r="C22" s="404">
        <v>544.34900000000005</v>
      </c>
      <c r="D22" s="404">
        <v>236.44620000000003</v>
      </c>
      <c r="E22" s="404">
        <v>15.942500000000001</v>
      </c>
      <c r="F22" s="404">
        <v>68.084100000000007</v>
      </c>
      <c r="G22" s="404">
        <v>114.46050000000001</v>
      </c>
      <c r="H22" s="404">
        <v>20.833099999999998</v>
      </c>
      <c r="I22" s="404">
        <v>86.716200000000015</v>
      </c>
      <c r="J22" s="407">
        <v>1.8663999999999998</v>
      </c>
      <c r="L22" s="38"/>
    </row>
    <row r="23" spans="1:12" s="277" customFormat="1" ht="14.4" hidden="1" customHeight="1" outlineLevel="1" x14ac:dyDescent="0.2">
      <c r="A23" s="300" t="s">
        <v>28</v>
      </c>
      <c r="B23" s="240"/>
      <c r="C23" s="404">
        <v>458.52305000000001</v>
      </c>
      <c r="D23" s="404">
        <v>184.43795</v>
      </c>
      <c r="E23" s="404">
        <v>16.156400000000001</v>
      </c>
      <c r="F23" s="404">
        <v>32.958800000000004</v>
      </c>
      <c r="G23" s="404">
        <v>114.03989999999999</v>
      </c>
      <c r="H23" s="404">
        <v>15.711000000000002</v>
      </c>
      <c r="I23" s="404">
        <v>90.992199999999997</v>
      </c>
      <c r="J23" s="407">
        <v>4.2267999999999999</v>
      </c>
      <c r="L23" s="38"/>
    </row>
    <row r="24" spans="1:12" s="277" customFormat="1" ht="14.4" hidden="1" customHeight="1" outlineLevel="1" x14ac:dyDescent="0.2">
      <c r="A24" s="300" t="s">
        <v>29</v>
      </c>
      <c r="B24" s="240"/>
      <c r="C24" s="404">
        <v>620.55102959999999</v>
      </c>
      <c r="D24" s="404">
        <v>297.07038</v>
      </c>
      <c r="E24" s="404">
        <v>20.589480000000002</v>
      </c>
      <c r="F24" s="404">
        <v>40.617839999999994</v>
      </c>
      <c r="G24" s="404">
        <v>69.809640000000002</v>
      </c>
      <c r="H24" s="404">
        <v>20.168339999999997</v>
      </c>
      <c r="I24" s="404">
        <v>169.57614960000001</v>
      </c>
      <c r="J24" s="407">
        <v>2.7192000000000003</v>
      </c>
      <c r="L24" s="38"/>
    </row>
    <row r="25" spans="1:12" s="277" customFormat="1" ht="14.4" hidden="1" customHeight="1" outlineLevel="1" x14ac:dyDescent="0.2">
      <c r="A25" s="300" t="s">
        <v>30</v>
      </c>
      <c r="B25" s="240"/>
      <c r="C25" s="404">
        <v>1083.2060800000002</v>
      </c>
      <c r="D25" s="404">
        <v>451.26264000000003</v>
      </c>
      <c r="E25" s="404">
        <v>27.457679999999996</v>
      </c>
      <c r="F25" s="404">
        <v>45.967240000000004</v>
      </c>
      <c r="G25" s="404">
        <v>322.8768</v>
      </c>
      <c r="H25" s="404">
        <v>112.37651999999999</v>
      </c>
      <c r="I25" s="404">
        <v>122.5902</v>
      </c>
      <c r="J25" s="407">
        <v>0.67500000000000004</v>
      </c>
      <c r="L25" s="38"/>
    </row>
    <row r="26" spans="1:12" s="277" customFormat="1" ht="15" hidden="1" customHeight="1" outlineLevel="1" x14ac:dyDescent="0.2">
      <c r="A26" s="47">
        <v>1996</v>
      </c>
      <c r="B26" s="27"/>
      <c r="C26" s="404"/>
      <c r="D26" s="404"/>
      <c r="E26" s="404"/>
      <c r="F26" s="404"/>
      <c r="G26" s="404"/>
      <c r="H26" s="404"/>
      <c r="I26" s="404"/>
      <c r="J26" s="407"/>
      <c r="L26" s="38"/>
    </row>
    <row r="27" spans="1:12" s="277" customFormat="1" ht="14.4" hidden="1" customHeight="1" outlineLevel="1" x14ac:dyDescent="0.2">
      <c r="A27" s="300" t="s">
        <v>27</v>
      </c>
      <c r="B27" s="240"/>
      <c r="C27" s="404">
        <v>576.84954999999991</v>
      </c>
      <c r="D27" s="404">
        <v>220.25864999999993</v>
      </c>
      <c r="E27" s="404">
        <v>12.510599999999998</v>
      </c>
      <c r="F27" s="404">
        <v>58.191499999999998</v>
      </c>
      <c r="G27" s="404">
        <v>122.56119999999999</v>
      </c>
      <c r="H27" s="404">
        <v>34.103200000000001</v>
      </c>
      <c r="I27" s="404">
        <v>127.77909999999999</v>
      </c>
      <c r="J27" s="407">
        <v>1.4453</v>
      </c>
      <c r="L27" s="38"/>
    </row>
    <row r="28" spans="1:12" s="277" customFormat="1" ht="14.4" hidden="1" customHeight="1" outlineLevel="1" x14ac:dyDescent="0.2">
      <c r="A28" s="300" t="s">
        <v>28</v>
      </c>
      <c r="B28" s="240"/>
      <c r="C28" s="404">
        <v>462.11709999999999</v>
      </c>
      <c r="D28" s="404">
        <v>202.53030000000001</v>
      </c>
      <c r="E28" s="404">
        <v>17.448</v>
      </c>
      <c r="F28" s="404">
        <v>24.885400000000001</v>
      </c>
      <c r="G28" s="404">
        <v>75.982799999999997</v>
      </c>
      <c r="H28" s="404">
        <v>49.039400000000001</v>
      </c>
      <c r="I28" s="404">
        <v>88.9482</v>
      </c>
      <c r="J28" s="407">
        <v>3.2829999999999995</v>
      </c>
      <c r="L28" s="38"/>
    </row>
    <row r="29" spans="1:12" s="277" customFormat="1" ht="14.4" hidden="1" customHeight="1" outlineLevel="1" x14ac:dyDescent="0.2">
      <c r="A29" s="300" t="s">
        <v>29</v>
      </c>
      <c r="B29" s="240"/>
      <c r="C29" s="404">
        <v>838.55569999999977</v>
      </c>
      <c r="D29" s="404">
        <v>358.20549999999986</v>
      </c>
      <c r="E29" s="404">
        <v>31.283099999999997</v>
      </c>
      <c r="F29" s="404">
        <v>48.702400000000004</v>
      </c>
      <c r="G29" s="404">
        <v>137.57239999999999</v>
      </c>
      <c r="H29" s="404">
        <v>31.577199999999998</v>
      </c>
      <c r="I29" s="404">
        <v>230.03350000000003</v>
      </c>
      <c r="J29" s="407">
        <v>1.1816</v>
      </c>
      <c r="L29" s="38"/>
    </row>
    <row r="30" spans="1:12" s="277" customFormat="1" ht="14.4" hidden="1" customHeight="1" outlineLevel="1" x14ac:dyDescent="0.2">
      <c r="A30" s="300" t="s">
        <v>30</v>
      </c>
      <c r="B30" s="240"/>
      <c r="C30" s="404">
        <v>1069.3284000000001</v>
      </c>
      <c r="D30" s="404">
        <v>360.15800000000002</v>
      </c>
      <c r="E30" s="404">
        <v>29.829000000000001</v>
      </c>
      <c r="F30" s="404">
        <v>47.783999999999999</v>
      </c>
      <c r="G30" s="404">
        <v>313.44300000000004</v>
      </c>
      <c r="H30" s="404">
        <v>58.197300000000006</v>
      </c>
      <c r="I30" s="404">
        <v>259.08789999999999</v>
      </c>
      <c r="J30" s="407">
        <v>0.82920000000000005</v>
      </c>
      <c r="L30" s="38"/>
    </row>
    <row r="31" spans="1:12" s="277" customFormat="1" ht="15" customHeight="1" collapsed="1" x14ac:dyDescent="0.2">
      <c r="A31" s="47">
        <v>1997</v>
      </c>
      <c r="B31" s="240"/>
      <c r="C31" s="404"/>
      <c r="D31" s="404"/>
      <c r="E31" s="404"/>
      <c r="F31" s="404"/>
      <c r="G31" s="404"/>
      <c r="H31" s="404"/>
      <c r="I31" s="404"/>
      <c r="J31" s="407"/>
      <c r="L31" s="38"/>
    </row>
    <row r="32" spans="1:12" s="277" customFormat="1" ht="14.4" customHeight="1" x14ac:dyDescent="0.2">
      <c r="A32" s="300" t="s">
        <v>27</v>
      </c>
      <c r="B32" s="240"/>
      <c r="C32" s="404">
        <v>581.58949999999993</v>
      </c>
      <c r="D32" s="404">
        <v>199.23839999999998</v>
      </c>
      <c r="E32" s="404">
        <v>35.545199999999994</v>
      </c>
      <c r="F32" s="404">
        <v>60.554499999999997</v>
      </c>
      <c r="G32" s="404">
        <v>121.88340000000001</v>
      </c>
      <c r="H32" s="404">
        <v>42.446399999999997</v>
      </c>
      <c r="I32" s="404">
        <v>117.22</v>
      </c>
      <c r="J32" s="407">
        <v>4.7016</v>
      </c>
      <c r="L32" s="38"/>
    </row>
    <row r="33" spans="1:12" s="277" customFormat="1" ht="14.4" customHeight="1" x14ac:dyDescent="0.2">
      <c r="A33" s="300" t="s">
        <v>28</v>
      </c>
      <c r="B33" s="240"/>
      <c r="C33" s="404">
        <v>771.18080000000009</v>
      </c>
      <c r="D33" s="404">
        <v>366.58249999999998</v>
      </c>
      <c r="E33" s="404">
        <v>32.792199999999994</v>
      </c>
      <c r="F33" s="404">
        <v>24.854200000000002</v>
      </c>
      <c r="G33" s="404">
        <v>104.3532</v>
      </c>
      <c r="H33" s="404">
        <v>47.067299999999996</v>
      </c>
      <c r="I33" s="404">
        <v>183.34059999999999</v>
      </c>
      <c r="J33" s="407">
        <v>12.190800000000001</v>
      </c>
      <c r="L33" s="38"/>
    </row>
    <row r="34" spans="1:12" s="277" customFormat="1" ht="14.4" customHeight="1" x14ac:dyDescent="0.2">
      <c r="A34" s="300" t="s">
        <v>29</v>
      </c>
      <c r="B34" s="240"/>
      <c r="C34" s="404">
        <v>665.8616300000001</v>
      </c>
      <c r="D34" s="404">
        <v>334.03434999999996</v>
      </c>
      <c r="E34" s="404">
        <v>6.1991999999999994</v>
      </c>
      <c r="F34" s="404">
        <v>3.5194000000000001</v>
      </c>
      <c r="G34" s="404">
        <v>51.800699999999999</v>
      </c>
      <c r="H34" s="404">
        <v>42.354479999999995</v>
      </c>
      <c r="I34" s="404">
        <v>227.41550000000004</v>
      </c>
      <c r="J34" s="407">
        <v>0.53800000000000003</v>
      </c>
      <c r="L34" s="38"/>
    </row>
    <row r="35" spans="1:12" s="277" customFormat="1" ht="14.4" customHeight="1" x14ac:dyDescent="0.2">
      <c r="A35" s="300" t="s">
        <v>30</v>
      </c>
      <c r="B35" s="240"/>
      <c r="C35" s="404">
        <v>1715.0952999999997</v>
      </c>
      <c r="D35" s="404">
        <v>935.80799999999988</v>
      </c>
      <c r="E35" s="404">
        <v>71.091999999999999</v>
      </c>
      <c r="F35" s="404">
        <v>92.691200000000009</v>
      </c>
      <c r="G35" s="404">
        <v>233.12900000000002</v>
      </c>
      <c r="H35" s="404">
        <v>72.096699999999998</v>
      </c>
      <c r="I35" s="404">
        <v>267.07100000000003</v>
      </c>
      <c r="J35" s="407">
        <v>43.207399999999993</v>
      </c>
      <c r="L35" s="38"/>
    </row>
    <row r="36" spans="1:12" s="277" customFormat="1" ht="12.9" customHeight="1" x14ac:dyDescent="0.2">
      <c r="A36" s="47">
        <v>1998</v>
      </c>
      <c r="B36" s="240"/>
      <c r="C36" s="404"/>
      <c r="D36" s="404"/>
      <c r="E36" s="404"/>
      <c r="F36" s="404"/>
      <c r="G36" s="404"/>
      <c r="H36" s="404"/>
      <c r="I36" s="404"/>
      <c r="J36" s="407"/>
      <c r="L36" s="38"/>
    </row>
    <row r="37" spans="1:12" s="277" customFormat="1" ht="14.4" customHeight="1" x14ac:dyDescent="0.2">
      <c r="A37" s="300" t="s">
        <v>27</v>
      </c>
      <c r="B37" s="240"/>
      <c r="C37" s="404">
        <v>711.08284999999989</v>
      </c>
      <c r="D37" s="404">
        <v>350.47824999999995</v>
      </c>
      <c r="E37" s="404">
        <v>42.559200000000004</v>
      </c>
      <c r="F37" s="404">
        <v>64.130900000000011</v>
      </c>
      <c r="G37" s="404">
        <v>100.9332</v>
      </c>
      <c r="H37" s="404">
        <v>26.314400000000003</v>
      </c>
      <c r="I37" s="404">
        <v>115.21269999999998</v>
      </c>
      <c r="J37" s="407">
        <v>11.4542</v>
      </c>
      <c r="L37" s="38"/>
    </row>
    <row r="38" spans="1:12" s="277" customFormat="1" ht="14.4" customHeight="1" x14ac:dyDescent="0.2">
      <c r="A38" s="300" t="s">
        <v>28</v>
      </c>
      <c r="B38" s="240"/>
      <c r="C38" s="404">
        <v>415.16114999999996</v>
      </c>
      <c r="D38" s="404">
        <v>162.99275</v>
      </c>
      <c r="E38" s="404">
        <v>21.779</v>
      </c>
      <c r="F38" s="404">
        <v>23.964800000000004</v>
      </c>
      <c r="G38" s="404">
        <v>61.210500000000003</v>
      </c>
      <c r="H38" s="404">
        <v>29.738799999999998</v>
      </c>
      <c r="I38" s="404">
        <v>100.97499999999999</v>
      </c>
      <c r="J38" s="407">
        <v>14.500299999999999</v>
      </c>
      <c r="L38" s="38"/>
    </row>
    <row r="39" spans="1:12" s="277" customFormat="1" ht="14.4" customHeight="1" x14ac:dyDescent="0.2">
      <c r="A39" s="300" t="s">
        <v>29</v>
      </c>
      <c r="B39" s="240"/>
      <c r="C39" s="404">
        <v>670.37799999999982</v>
      </c>
      <c r="D39" s="404">
        <v>344.28909999999996</v>
      </c>
      <c r="E39" s="404">
        <v>21.789400000000001</v>
      </c>
      <c r="F39" s="404">
        <v>23.313700000000004</v>
      </c>
      <c r="G39" s="404">
        <v>114.14819999999999</v>
      </c>
      <c r="H39" s="404">
        <v>26.482299999999995</v>
      </c>
      <c r="I39" s="404">
        <v>139.42400000000001</v>
      </c>
      <c r="J39" s="407">
        <v>0.93129999999999991</v>
      </c>
      <c r="L39" s="38"/>
    </row>
    <row r="40" spans="1:12" s="277" customFormat="1" ht="14.4" customHeight="1" x14ac:dyDescent="0.2">
      <c r="A40" s="300" t="s">
        <v>30</v>
      </c>
      <c r="B40" s="240"/>
      <c r="C40" s="404">
        <v>887.71235000000001</v>
      </c>
      <c r="D40" s="404">
        <v>502.15815000000003</v>
      </c>
      <c r="E40" s="404">
        <v>18.467599999999997</v>
      </c>
      <c r="F40" s="404">
        <v>42.917000000000002</v>
      </c>
      <c r="G40" s="404">
        <v>111.39699999999999</v>
      </c>
      <c r="H40" s="404">
        <v>71.288800000000009</v>
      </c>
      <c r="I40" s="404">
        <v>133.59559999999999</v>
      </c>
      <c r="J40" s="407">
        <v>7.8881999999999994</v>
      </c>
      <c r="L40" s="38"/>
    </row>
    <row r="41" spans="1:12" s="277" customFormat="1" ht="12.9" customHeight="1" x14ac:dyDescent="0.2">
      <c r="A41" s="47">
        <v>1999</v>
      </c>
      <c r="B41" s="240"/>
      <c r="C41" s="404"/>
      <c r="D41" s="404"/>
      <c r="E41" s="404"/>
      <c r="F41" s="404"/>
      <c r="G41" s="404"/>
      <c r="H41" s="404"/>
      <c r="I41" s="404"/>
      <c r="J41" s="407"/>
      <c r="L41" s="38"/>
    </row>
    <row r="42" spans="1:12" s="277" customFormat="1" ht="14.4" customHeight="1" x14ac:dyDescent="0.2">
      <c r="A42" s="300" t="s">
        <v>27</v>
      </c>
      <c r="B42" s="240"/>
      <c r="C42" s="404">
        <v>987.53079999999989</v>
      </c>
      <c r="D42" s="404">
        <v>617.06839999999988</v>
      </c>
      <c r="E42" s="404">
        <v>51.811500000000002</v>
      </c>
      <c r="F42" s="404">
        <v>16.401299999999999</v>
      </c>
      <c r="G42" s="404">
        <v>126.91080000000001</v>
      </c>
      <c r="H42" s="404">
        <v>50.575000000000003</v>
      </c>
      <c r="I42" s="404">
        <v>114.16629999999999</v>
      </c>
      <c r="J42" s="407">
        <v>10.5975</v>
      </c>
      <c r="L42" s="38"/>
    </row>
    <row r="43" spans="1:12" s="277" customFormat="1" ht="14.4" customHeight="1" x14ac:dyDescent="0.2">
      <c r="A43" s="300" t="s">
        <v>28</v>
      </c>
      <c r="B43" s="240"/>
      <c r="C43" s="404">
        <v>722.13650000000007</v>
      </c>
      <c r="D43" s="404">
        <v>494.61440000000005</v>
      </c>
      <c r="E43" s="404">
        <v>41.945099999999996</v>
      </c>
      <c r="F43" s="404">
        <v>17.715699999999998</v>
      </c>
      <c r="G43" s="404">
        <v>60.351599999999998</v>
      </c>
      <c r="H43" s="404">
        <v>32.676900000000003</v>
      </c>
      <c r="I43" s="404">
        <v>68.460499999999996</v>
      </c>
      <c r="J43" s="407">
        <v>6.3723000000000001</v>
      </c>
      <c r="L43" s="38"/>
    </row>
    <row r="44" spans="1:12" s="277" customFormat="1" ht="14.4" customHeight="1" x14ac:dyDescent="0.2">
      <c r="A44" s="300" t="s">
        <v>29</v>
      </c>
      <c r="B44" s="240"/>
      <c r="C44" s="404">
        <v>772.63379999999995</v>
      </c>
      <c r="D44" s="404">
        <v>488.9353999999999</v>
      </c>
      <c r="E44" s="404">
        <v>57.755199999999995</v>
      </c>
      <c r="F44" s="404">
        <v>8.9327999999999985</v>
      </c>
      <c r="G44" s="404">
        <v>53.4148</v>
      </c>
      <c r="H44" s="404">
        <v>49.391599999999997</v>
      </c>
      <c r="I44" s="404">
        <v>108.70880000000001</v>
      </c>
      <c r="J44" s="407">
        <v>5.4951999999999996</v>
      </c>
      <c r="L44" s="38"/>
    </row>
    <row r="45" spans="1:12" s="277" customFormat="1" ht="14.4" customHeight="1" x14ac:dyDescent="0.2">
      <c r="A45" s="300" t="s">
        <v>30</v>
      </c>
      <c r="B45" s="240"/>
      <c r="C45" s="404">
        <v>918.68990000000008</v>
      </c>
      <c r="D45" s="404">
        <v>470.56180000000006</v>
      </c>
      <c r="E45" s="404">
        <v>42.6188</v>
      </c>
      <c r="F45" s="404">
        <v>24.656200000000002</v>
      </c>
      <c r="G45" s="404">
        <v>211.4855</v>
      </c>
      <c r="H45" s="404">
        <v>46.465200000000003</v>
      </c>
      <c r="I45" s="404">
        <v>121.22779999999999</v>
      </c>
      <c r="J45" s="407">
        <v>1.6746000000000003</v>
      </c>
      <c r="L45" s="38"/>
    </row>
    <row r="46" spans="1:12" s="277" customFormat="1" ht="15" customHeight="1" x14ac:dyDescent="0.2">
      <c r="A46" s="47">
        <v>2000</v>
      </c>
      <c r="B46" s="240"/>
      <c r="C46" s="404"/>
      <c r="D46" s="404"/>
      <c r="E46" s="404"/>
      <c r="F46" s="404"/>
      <c r="G46" s="404"/>
      <c r="H46" s="404"/>
      <c r="I46" s="404"/>
      <c r="J46" s="407"/>
      <c r="L46" s="38"/>
    </row>
    <row r="47" spans="1:12" s="277" customFormat="1" ht="14.4" customHeight="1" x14ac:dyDescent="0.2">
      <c r="A47" s="300" t="s">
        <v>27</v>
      </c>
      <c r="B47" s="240"/>
      <c r="C47" s="404">
        <v>384.89440000000002</v>
      </c>
      <c r="D47" s="404">
        <v>159.53540000000001</v>
      </c>
      <c r="E47" s="404">
        <v>18.414300000000004</v>
      </c>
      <c r="F47" s="404">
        <v>36.383199999999995</v>
      </c>
      <c r="G47" s="404">
        <v>90.695899999999995</v>
      </c>
      <c r="H47" s="404">
        <v>5.9916999999999989</v>
      </c>
      <c r="I47" s="404">
        <v>70.372200000000007</v>
      </c>
      <c r="J47" s="407">
        <v>3.5017</v>
      </c>
      <c r="L47" s="38"/>
    </row>
    <row r="48" spans="1:12" s="277" customFormat="1" ht="14.4" customHeight="1" x14ac:dyDescent="0.2">
      <c r="A48" s="300" t="s">
        <v>28</v>
      </c>
      <c r="B48" s="240"/>
      <c r="C48" s="404">
        <v>276.43880000000007</v>
      </c>
      <c r="D48" s="404">
        <v>187.32340000000002</v>
      </c>
      <c r="E48" s="404">
        <v>14.009499999999999</v>
      </c>
      <c r="F48" s="404">
        <v>5.311799999999999</v>
      </c>
      <c r="G48" s="404">
        <v>26.974799999999998</v>
      </c>
      <c r="H48" s="404">
        <v>5.9187000000000003</v>
      </c>
      <c r="I48" s="404">
        <v>33.938300000000005</v>
      </c>
      <c r="J48" s="407">
        <v>2.9623000000000008</v>
      </c>
      <c r="L48" s="38"/>
    </row>
    <row r="49" spans="1:12" s="277" customFormat="1" ht="14.4" customHeight="1" x14ac:dyDescent="0.2">
      <c r="A49" s="300" t="s">
        <v>29</v>
      </c>
      <c r="B49" s="240"/>
      <c r="C49" s="404">
        <v>364.0985</v>
      </c>
      <c r="D49" s="404">
        <v>232.52320000000003</v>
      </c>
      <c r="E49" s="488">
        <v>16.879799999999999</v>
      </c>
      <c r="F49" s="404">
        <v>4.4260000000000002</v>
      </c>
      <c r="G49" s="404">
        <v>38.493000000000002</v>
      </c>
      <c r="H49" s="404">
        <v>2.6943999999999999</v>
      </c>
      <c r="I49" s="404">
        <v>69.02709999999999</v>
      </c>
      <c r="J49" s="407">
        <v>5.5E-2</v>
      </c>
      <c r="L49" s="38"/>
    </row>
    <row r="50" spans="1:12" s="592" customFormat="1" ht="14.4" customHeight="1" x14ac:dyDescent="0.2">
      <c r="A50" s="593" t="s">
        <v>30</v>
      </c>
      <c r="B50" s="590"/>
      <c r="C50" s="585">
        <f>SUM(D50:J50)</f>
        <v>25.968100000000003</v>
      </c>
      <c r="D50" s="585">
        <f>'[1]MKT_94(R)'!$AD$163/1000</f>
        <v>21.5517</v>
      </c>
      <c r="E50" s="585">
        <f>'[1]MKT_94(R)'!$AD$205/1000</f>
        <v>0</v>
      </c>
      <c r="F50" s="585">
        <f>'[1]MKT_94(R)'!$AD$169/1000</f>
        <v>2.3039999999999998</v>
      </c>
      <c r="G50" s="585">
        <f>'[1]MKT_94(R)'!$AD$186/1000</f>
        <v>0.1168</v>
      </c>
      <c r="H50" s="585">
        <f>'[1]MKT_94(R)'!$AD$184/1000</f>
        <v>2.5499999999999998E-2</v>
      </c>
      <c r="I50" s="585">
        <f>'[1]MKT_94(R)'!$AD$201/1000</f>
        <v>1.5708000000000002</v>
      </c>
      <c r="J50" s="591">
        <f>'[1]MKT_94(R)'!$AD$175/1000</f>
        <v>0.39929999999999999</v>
      </c>
      <c r="L50" s="589"/>
    </row>
    <row r="51" spans="1:12" s="277" customFormat="1" x14ac:dyDescent="0.2">
      <c r="A51" s="47">
        <v>2001</v>
      </c>
      <c r="B51" s="240"/>
      <c r="C51" s="404"/>
      <c r="D51" s="404"/>
      <c r="E51" s="488"/>
      <c r="F51" s="404"/>
      <c r="G51" s="404"/>
      <c r="H51" s="404"/>
      <c r="I51" s="404"/>
      <c r="J51" s="407"/>
      <c r="L51" s="38"/>
    </row>
    <row r="52" spans="1:12" s="592" customFormat="1" ht="14.4" customHeight="1" x14ac:dyDescent="0.2">
      <c r="A52" s="593" t="s">
        <v>27</v>
      </c>
      <c r="B52" s="590"/>
      <c r="C52" s="585">
        <f>SUM(D52:J52)</f>
        <v>326.90788458329996</v>
      </c>
      <c r="D52" s="585">
        <v>84.882400000000004</v>
      </c>
      <c r="E52" s="585">
        <f>70.43768+0.43544</f>
        <v>70.87312</v>
      </c>
      <c r="F52" s="585">
        <v>14.817489999999999</v>
      </c>
      <c r="G52" s="585">
        <v>102.9417</v>
      </c>
      <c r="H52" s="585">
        <f>0.2383933333+3.57182125+0.736+0.26+0.04158+0.04+2.63332</f>
        <v>7.5211145832999993</v>
      </c>
      <c r="I52" s="585">
        <v>44.590179999999997</v>
      </c>
      <c r="J52" s="591">
        <v>1.2818799999999999</v>
      </c>
      <c r="K52" s="594"/>
      <c r="L52" s="589"/>
    </row>
    <row r="53" spans="1:12" s="588" customFormat="1" ht="14.4" customHeight="1" x14ac:dyDescent="0.2">
      <c r="A53" s="593" t="s">
        <v>28</v>
      </c>
      <c r="B53" s="590"/>
      <c r="C53" s="585">
        <f>SUM(D53:J53)</f>
        <v>13.1105</v>
      </c>
      <c r="D53" s="585">
        <f>'[1]MKT_94(R)'!$AF$163/1000</f>
        <v>6.5353999999999992</v>
      </c>
      <c r="E53" s="585">
        <f>'[1]MKT_94(R)'!$AF$205/1000</f>
        <v>0</v>
      </c>
      <c r="F53" s="585">
        <f>'[1]MKT_94(R)'!$AF$169/1000</f>
        <v>3.1328</v>
      </c>
      <c r="G53" s="585">
        <f>'[1]MKT_94(R)'!$AF$186/1000</f>
        <v>0</v>
      </c>
      <c r="H53" s="585">
        <f>'[1]MKT_94(R)'!$AF$184/1000</f>
        <v>6.2300000000000008E-2</v>
      </c>
      <c r="I53" s="585">
        <f>'[1]MKT_94(R)'!$AF$201/1000</f>
        <v>3.2528000000000001</v>
      </c>
      <c r="J53" s="591">
        <f>'[1]MKT_94(R)'!$AF$175/1000</f>
        <v>0.12720000000000001</v>
      </c>
      <c r="K53" s="586"/>
      <c r="L53" s="587"/>
    </row>
    <row r="54" spans="1:12" s="592" customFormat="1" ht="14.4" customHeight="1" x14ac:dyDescent="0.2">
      <c r="A54" s="593" t="s">
        <v>29</v>
      </c>
      <c r="B54" s="590"/>
      <c r="C54" s="585">
        <f>SUM(D54:J54)</f>
        <v>372.73537000000005</v>
      </c>
      <c r="D54" s="585">
        <v>191.10263</v>
      </c>
      <c r="E54" s="598">
        <f>91.56534+1.78451</f>
        <v>93.349850000000004</v>
      </c>
      <c r="F54" s="585">
        <v>12.46083</v>
      </c>
      <c r="G54" s="585">
        <v>24.177499999999998</v>
      </c>
      <c r="H54" s="585">
        <f>2.48112+1.36285+0.35149+0.16125+0.02493</f>
        <v>4.38164</v>
      </c>
      <c r="I54" s="585">
        <v>46.640920000000001</v>
      </c>
      <c r="J54" s="591">
        <v>0.622</v>
      </c>
      <c r="K54" s="594"/>
      <c r="L54" s="589"/>
    </row>
    <row r="55" spans="1:12" s="592" customFormat="1" ht="14.4" customHeight="1" x14ac:dyDescent="0.2">
      <c r="A55" s="593" t="s">
        <v>30</v>
      </c>
      <c r="B55" s="590"/>
      <c r="C55" s="585">
        <f>SUM(D55:J55)</f>
        <v>292.22161999999997</v>
      </c>
      <c r="D55" s="585">
        <v>162.48979</v>
      </c>
      <c r="E55" s="598">
        <f>22.68769+1.22338</f>
        <v>23.911069999999999</v>
      </c>
      <c r="F55" s="585">
        <v>10.480549999999999</v>
      </c>
      <c r="G55" s="585">
        <v>5.9489999999999998</v>
      </c>
      <c r="H55" s="585">
        <f>1.70828+8.50179+0.04262+0.08+0.15938+25.994+0.17967</f>
        <v>36.66574</v>
      </c>
      <c r="I55" s="585">
        <v>52.443219999999997</v>
      </c>
      <c r="J55" s="591">
        <v>0.28225</v>
      </c>
      <c r="K55" s="594"/>
      <c r="L55" s="589"/>
    </row>
    <row r="56" spans="1:12" s="277" customFormat="1" ht="14.4" customHeight="1" x14ac:dyDescent="0.2">
      <c r="A56" s="47">
        <v>2002</v>
      </c>
      <c r="B56" s="240"/>
      <c r="C56" s="404"/>
      <c r="D56" s="404"/>
      <c r="E56" s="404"/>
      <c r="F56" s="404"/>
      <c r="G56" s="404"/>
      <c r="H56" s="404"/>
      <c r="I56" s="404"/>
      <c r="J56" s="407"/>
      <c r="K56" s="501"/>
      <c r="L56" s="38"/>
    </row>
    <row r="57" spans="1:12" s="592" customFormat="1" ht="14.4" customHeight="1" x14ac:dyDescent="0.2">
      <c r="A57" s="593" t="s">
        <v>27</v>
      </c>
      <c r="B57" s="590"/>
      <c r="C57" s="585">
        <f>SUM(D57:J57)</f>
        <v>46.768300000000018</v>
      </c>
      <c r="D57" s="585">
        <f>'[1]MKT_94(R)'!AI$163/1000</f>
        <v>35.488200000000006</v>
      </c>
      <c r="E57" s="585">
        <f>'[1]MKT_94(R)'!$AI$205/1000</f>
        <v>0</v>
      </c>
      <c r="F57" s="585">
        <f>'[1]MKT_94(R)'!$AI$169/1000</f>
        <v>7.8400000000000007</v>
      </c>
      <c r="G57" s="585">
        <f>'[1]MKT_94(R)'!$AI$186/1000</f>
        <v>0</v>
      </c>
      <c r="H57" s="585">
        <f>'[1]MKT_94(R)'!$AI$184/1000</f>
        <v>0.12659999999999999</v>
      </c>
      <c r="I57" s="585">
        <f>'[1]MKT_94(R)'!$AI$201/1000</f>
        <v>2.5375000000000001</v>
      </c>
      <c r="J57" s="591">
        <f>'[1]MKT_94(R)'!$AI$175/1000</f>
        <v>0.77599999999999991</v>
      </c>
      <c r="L57" s="589"/>
    </row>
    <row r="58" spans="1:12" s="592" customFormat="1" ht="14.4" customHeight="1" x14ac:dyDescent="0.2">
      <c r="A58" s="593" t="s">
        <v>28</v>
      </c>
      <c r="B58" s="590"/>
      <c r="C58" s="585">
        <f>SUM(D58:J58)</f>
        <v>30.317899999999998</v>
      </c>
      <c r="D58" s="585">
        <f>'[1]MKT_94(R)'!$AJ$163/1000</f>
        <v>18.490500000000001</v>
      </c>
      <c r="E58" s="585">
        <f>'[1]MKT_94(R)'!$AJ$205/1000</f>
        <v>0</v>
      </c>
      <c r="F58" s="585">
        <f>'[1]MKT_94(R)'!$AJ$169/1000</f>
        <v>4.8095999999999997</v>
      </c>
      <c r="G58" s="585">
        <f>'[1]MKT_94(R)'!$AJ$186/1000</f>
        <v>0</v>
      </c>
      <c r="H58" s="585">
        <f>'[1]MKT_94(R)'!$AJ$184/1000</f>
        <v>1.6511</v>
      </c>
      <c r="I58" s="585">
        <f>'[1]MKT_94(R)'!$AJ$201/1000</f>
        <v>5.3666999999999989</v>
      </c>
      <c r="J58" s="591">
        <f>'[1]MKT_94(R)'!$AJ$175/1000</f>
        <v>0</v>
      </c>
      <c r="L58" s="589"/>
    </row>
    <row r="59" spans="1:12" s="592" customFormat="1" ht="14.4" customHeight="1" x14ac:dyDescent="0.2">
      <c r="A59" s="593" t="s">
        <v>29</v>
      </c>
      <c r="B59" s="590"/>
      <c r="C59" s="585">
        <f>SUM(D59:J59)</f>
        <v>54.657299999999992</v>
      </c>
      <c r="D59" s="585">
        <f>'[1]MKT_94(R)'!AK$163/1000</f>
        <v>17.422999999999998</v>
      </c>
      <c r="E59" s="585">
        <f>'[1]MKT_94(R)'!$AK$205/1000</f>
        <v>0</v>
      </c>
      <c r="F59" s="585">
        <f>'[1]MKT_94(R)'!$AK$169/1000</f>
        <v>0.98039999999999994</v>
      </c>
      <c r="G59" s="585">
        <f>'[1]MKT_94(R)'!$AK$186/1000</f>
        <v>0</v>
      </c>
      <c r="H59" s="585">
        <f>'[1]MKT_94(R)'!$AK$184/1000</f>
        <v>1.0536999999999999</v>
      </c>
      <c r="I59" s="585">
        <f>'[1]MKT_94(R)'!$AK$201/1000</f>
        <v>35.200199999999995</v>
      </c>
      <c r="J59" s="591">
        <f>'[1]MKT_94(R)'!$AK$175/1000</f>
        <v>0</v>
      </c>
      <c r="L59" s="589"/>
    </row>
    <row r="60" spans="1:12" s="592" customFormat="1" ht="14.4" customHeight="1" x14ac:dyDescent="0.2">
      <c r="A60" s="593" t="s">
        <v>30</v>
      </c>
      <c r="B60" s="590"/>
      <c r="C60" s="585">
        <f>SUM(D60:J60)</f>
        <v>51.679400000000001</v>
      </c>
      <c r="D60" s="585">
        <f>'[1]MKT_94(R)'!AL$163/1000</f>
        <v>9.0474999999999994</v>
      </c>
      <c r="E60" s="585">
        <f>'[1]MKT_94(R)'!$AL$205/1000</f>
        <v>0</v>
      </c>
      <c r="F60" s="585">
        <f>'[1]MKT_94(R)'!$AL$169/1000</f>
        <v>2.3904000000000001</v>
      </c>
      <c r="G60" s="585">
        <f>'[1]MKT_94(R)'!$AL$186/1000</f>
        <v>0</v>
      </c>
      <c r="H60" s="585">
        <f>'[1]MKT_94(R)'!$AL$184/1000</f>
        <v>0.13</v>
      </c>
      <c r="I60" s="585">
        <f>'[1]MKT_94(R)'!$AL$201/1000</f>
        <v>14.1525</v>
      </c>
      <c r="J60" s="591">
        <f>'[1]MKT_94(R)'!$AL$175/1000</f>
        <v>25.959</v>
      </c>
      <c r="L60" s="589"/>
    </row>
    <row r="61" spans="1:12" s="277" customFormat="1" ht="14.4" customHeight="1" x14ac:dyDescent="0.2">
      <c r="A61" s="47">
        <v>2003</v>
      </c>
      <c r="B61" s="240"/>
      <c r="C61" s="404"/>
      <c r="D61" s="585"/>
      <c r="E61" s="585"/>
      <c r="F61" s="585"/>
      <c r="G61" s="585"/>
      <c r="H61" s="585"/>
      <c r="I61" s="585"/>
      <c r="J61" s="407"/>
      <c r="L61" s="38"/>
    </row>
    <row r="62" spans="1:12" s="592" customFormat="1" ht="14.4" customHeight="1" x14ac:dyDescent="0.2">
      <c r="A62" s="593" t="s">
        <v>27</v>
      </c>
      <c r="B62" s="590"/>
      <c r="C62" s="585">
        <f>SUM(D62:J62)</f>
        <v>46.838499999999996</v>
      </c>
      <c r="D62" s="585">
        <f>'[1]MKT_94(R)'!$AM$163/1000</f>
        <v>6.7600000000000007</v>
      </c>
      <c r="E62" s="585">
        <f>'[1]MKT_94(R)'!$AM$205/1000</f>
        <v>0</v>
      </c>
      <c r="F62" s="585">
        <f>'[1]MKT_94(R)'!$AM$169/1000</f>
        <v>4.4659999999999993</v>
      </c>
      <c r="G62" s="585">
        <f>'[1]MKT_94(R)'!$AM$186/1000</f>
        <v>0</v>
      </c>
      <c r="H62" s="585">
        <f>'[1]MKT_94(R)'!$AM$184/1000</f>
        <v>1.3052999999999999</v>
      </c>
      <c r="I62" s="585">
        <f>'[1]MKT_94(R)'!$AM$201/1000</f>
        <v>10.8712</v>
      </c>
      <c r="J62" s="591">
        <f>'[1]MKT_94(R)'!$AM$175/1000</f>
        <v>23.436</v>
      </c>
      <c r="L62" s="589"/>
    </row>
    <row r="63" spans="1:12" s="592" customFormat="1" ht="14.4" customHeight="1" x14ac:dyDescent="0.2">
      <c r="A63" s="593" t="s">
        <v>28</v>
      </c>
      <c r="B63" s="590"/>
      <c r="C63" s="585">
        <f>SUM(D63:J63)</f>
        <v>72.052900000000008</v>
      </c>
      <c r="D63" s="585">
        <f>'[1]MKT_94(R)'!$AN$163/1000</f>
        <v>41.556400000000004</v>
      </c>
      <c r="E63" s="585">
        <f>'[1]MKT_94(R)'!$AN$205/1000</f>
        <v>0</v>
      </c>
      <c r="F63" s="585">
        <f>'[1]MKT_94(R)'!$AN$169/1000</f>
        <v>3.6223000000000005</v>
      </c>
      <c r="G63" s="585">
        <f>'[1]MKT_94(R)'!$AN$186/1000</f>
        <v>0.41440000000000005</v>
      </c>
      <c r="H63" s="585">
        <f>'[1]MKT_94(R)'!$AN$184/1000</f>
        <v>3.1269999999999998</v>
      </c>
      <c r="I63" s="585">
        <f>'[1]MKT_94(R)'!$AN$201/1000</f>
        <v>11.978399999999999</v>
      </c>
      <c r="J63" s="591">
        <f>'[1]MKT_94(R)'!$AN$175/1000</f>
        <v>11.3544</v>
      </c>
      <c r="L63" s="589"/>
    </row>
    <row r="64" spans="1:12" s="592" customFormat="1" ht="14.4" customHeight="1" x14ac:dyDescent="0.2">
      <c r="A64" s="593" t="s">
        <v>29</v>
      </c>
      <c r="B64" s="590"/>
      <c r="C64" s="585">
        <f>SUM(D64:J64)</f>
        <v>72.123599999999996</v>
      </c>
      <c r="D64" s="585">
        <f>'[1]MKT_94(R)'!$AO$163/1000</f>
        <v>45.807499999999997</v>
      </c>
      <c r="E64" s="585">
        <f>'[1]MKT_94(R)'!$AO$205/1000</f>
        <v>0</v>
      </c>
      <c r="F64" s="585">
        <f>'[1]MKT_94(R)'!$AO$169/1000</f>
        <v>1.9690000000000003</v>
      </c>
      <c r="G64" s="585">
        <f>'[1]MKT_94(R)'!$AO$186/1000</f>
        <v>3.1212</v>
      </c>
      <c r="H64" s="585">
        <f>'[1]MKT_94(R)'!$AO$184/1000</f>
        <v>1.3974000000000002</v>
      </c>
      <c r="I64" s="585">
        <f>'[1]MKT_94(R)'!$AO$201/1000</f>
        <v>9.655800000000001</v>
      </c>
      <c r="J64" s="591">
        <f>'[1]MKT_94(R)'!$AO$175/1000</f>
        <v>10.172700000000001</v>
      </c>
      <c r="L64" s="589"/>
    </row>
    <row r="65" spans="1:12" s="592" customFormat="1" ht="14.4" customHeight="1" x14ac:dyDescent="0.2">
      <c r="A65" s="593" t="s">
        <v>30</v>
      </c>
      <c r="B65" s="595"/>
      <c r="C65" s="585">
        <f>SUM(D65:J65)</f>
        <v>57.517099999999999</v>
      </c>
      <c r="D65" s="585">
        <f>'[1]MKT_94(R)'!$AP$163/1000</f>
        <v>28.498799999999999</v>
      </c>
      <c r="E65" s="585">
        <f>'[1]MKT_94(R)'!$AP$205/1000</f>
        <v>0</v>
      </c>
      <c r="F65" s="585">
        <f>'[1]MKT_94(R)'!$AP$169/1000</f>
        <v>2.4803999999999999</v>
      </c>
      <c r="G65" s="596">
        <f>'[1]MKT_94(R)'!$AP$186/1000</f>
        <v>0.36800000000000005</v>
      </c>
      <c r="H65" s="585">
        <f>'[1]MKT_94(R)'!$AP$184/1000</f>
        <v>1.7948000000000002</v>
      </c>
      <c r="I65" s="585">
        <f>'[1]MKT_94(R)'!$AP$201/1000</f>
        <v>9.8896000000000015</v>
      </c>
      <c r="J65" s="591">
        <f>'[1]MKT_94(R)'!$AP$175/1000</f>
        <v>14.4855</v>
      </c>
      <c r="L65" s="589"/>
    </row>
    <row r="66" spans="1:12" ht="15" customHeight="1" x14ac:dyDescent="0.2">
      <c r="A66" s="320" t="s">
        <v>50</v>
      </c>
      <c r="B66" s="321"/>
      <c r="C66" s="297"/>
      <c r="D66" s="298"/>
      <c r="E66" s="298"/>
      <c r="F66" s="298"/>
      <c r="G66" s="298"/>
      <c r="H66" s="298"/>
      <c r="I66" s="298"/>
      <c r="J66" s="298"/>
    </row>
    <row r="67" spans="1:12" x14ac:dyDescent="0.2">
      <c r="A67" s="276" t="s">
        <v>35</v>
      </c>
      <c r="B67" s="48"/>
      <c r="C67" s="48"/>
    </row>
    <row r="68" spans="1:12" x14ac:dyDescent="0.2">
      <c r="H68" s="501"/>
    </row>
    <row r="69" spans="1:12" x14ac:dyDescent="0.2">
      <c r="C69" s="12">
        <f>SUM(C19:C23)/4</f>
        <v>737.38485000000014</v>
      </c>
    </row>
  </sheetData>
  <phoneticPr fontId="2" type="noConversion"/>
  <printOptions gridLinesSet="0"/>
  <pageMargins left="0.59055118110236204" right="1.77" top="0.59055118110236204" bottom="2.2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25</vt:i4>
      </vt:variant>
    </vt:vector>
  </HeadingPairs>
  <TitlesOfParts>
    <vt:vector size="45" baseType="lpstr">
      <vt:lpstr>Readme</vt:lpstr>
      <vt:lpstr>AGRVA</vt:lpstr>
      <vt:lpstr>AGRVO</vt:lpstr>
      <vt:lpstr>AGRUV</vt:lpstr>
      <vt:lpstr>D_AGRVA_old</vt:lpstr>
      <vt:lpstr>D_AGRVO_old</vt:lpstr>
      <vt:lpstr>D_IND</vt:lpstr>
      <vt:lpstr>D_AGRVA</vt:lpstr>
      <vt:lpstr>D_AGRVA COPY</vt:lpstr>
      <vt:lpstr>D_AGRVO</vt:lpstr>
      <vt:lpstr>D_AGRUV_old</vt:lpstr>
      <vt:lpstr>D_AGRUV</vt:lpstr>
      <vt:lpstr>D_CPI_H</vt:lpstr>
      <vt:lpstr>D_AGRVO_new</vt:lpstr>
      <vt:lpstr>CPI_H_old2</vt:lpstr>
      <vt:lpstr>MANUF</vt:lpstr>
      <vt:lpstr>CPI_H_old</vt:lpstr>
      <vt:lpstr>CPI_U</vt:lpstr>
      <vt:lpstr>CPI_H_for Bulletin</vt:lpstr>
      <vt:lpstr>CPI</vt:lpstr>
      <vt:lpstr>AGRUV!Print_Area</vt:lpstr>
      <vt:lpstr>AGRVA!Print_Area</vt:lpstr>
      <vt:lpstr>AGRVO!Print_Area</vt:lpstr>
      <vt:lpstr>CPI!Print_Area</vt:lpstr>
      <vt:lpstr>'CPI_H_for Bulletin'!Print_Area</vt:lpstr>
      <vt:lpstr>CPI_H_old!Print_Area</vt:lpstr>
      <vt:lpstr>CPI_H_old2!Print_Area</vt:lpstr>
      <vt:lpstr>CPI_U!Print_Area</vt:lpstr>
      <vt:lpstr>D_AGRUV!Print_Area</vt:lpstr>
      <vt:lpstr>D_AGRUV_old!Print_Area</vt:lpstr>
      <vt:lpstr>D_AGRVA!Print_Area</vt:lpstr>
      <vt:lpstr>'D_AGRVA COPY'!Print_Area</vt:lpstr>
      <vt:lpstr>D_AGRVA_old!Print_Area</vt:lpstr>
      <vt:lpstr>D_AGRVO!Print_Area</vt:lpstr>
      <vt:lpstr>D_AGRVO_new!Print_Area</vt:lpstr>
      <vt:lpstr>D_AGRVO_old!Print_Area</vt:lpstr>
      <vt:lpstr>D_CPI_H!Print_Area</vt:lpstr>
      <vt:lpstr>D_IND!Print_Area</vt:lpstr>
      <vt:lpstr>MANUF!Print_Area</vt:lpstr>
      <vt:lpstr>AGRUV!Print_Titles</vt:lpstr>
      <vt:lpstr>AGRVO!Print_Titles</vt:lpstr>
      <vt:lpstr>D_AGRUV!Print_Titles</vt:lpstr>
      <vt:lpstr>D_AGRUV_old!Print_Titles</vt:lpstr>
      <vt:lpstr>D_AGRVO_new!Print_Titles</vt:lpstr>
      <vt:lpstr>D_AGRVO_old!Print_Titles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Sturton</dc:creator>
  <cp:lastModifiedBy>Seneti Lasike</cp:lastModifiedBy>
  <cp:lastPrinted>2024-09-27T03:47:58Z</cp:lastPrinted>
  <dcterms:created xsi:type="dcterms:W3CDTF">2001-03-20T00:09:59Z</dcterms:created>
  <dcterms:modified xsi:type="dcterms:W3CDTF">2025-06-25T23:02:42Z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56A14DA">
    <vt:lpwstr/>
  </property>
  <property fmtid="{D5CDD505-2E9C-101B-9397-08002B2CF9AE}" pid="3" name="IVID333512D0">
    <vt:lpwstr/>
  </property>
  <property fmtid="{D5CDD505-2E9C-101B-9397-08002B2CF9AE}" pid="4" name="IVID424519F9">
    <vt:lpwstr/>
  </property>
  <property fmtid="{D5CDD505-2E9C-101B-9397-08002B2CF9AE}" pid="5" name="IVID1C2510E0">
    <vt:lpwstr/>
  </property>
  <property fmtid="{D5CDD505-2E9C-101B-9397-08002B2CF9AE}" pid="6" name="IVID234B13D4">
    <vt:lpwstr/>
  </property>
  <property fmtid="{D5CDD505-2E9C-101B-9397-08002B2CF9AE}" pid="7" name="IVID29051603">
    <vt:lpwstr/>
  </property>
  <property fmtid="{D5CDD505-2E9C-101B-9397-08002B2CF9AE}" pid="8" name="IVID173011FD">
    <vt:lpwstr/>
  </property>
  <property fmtid="{D5CDD505-2E9C-101B-9397-08002B2CF9AE}" pid="9" name="IVID2E3915F2">
    <vt:lpwstr/>
  </property>
  <property fmtid="{D5CDD505-2E9C-101B-9397-08002B2CF9AE}" pid="10" name="IVID2D2A1208">
    <vt:lpwstr/>
  </property>
  <property fmtid="{D5CDD505-2E9C-101B-9397-08002B2CF9AE}" pid="11" name="IVID3B6707D1">
    <vt:lpwstr/>
  </property>
  <property fmtid="{D5CDD505-2E9C-101B-9397-08002B2CF9AE}" pid="12" name="IVID261B0FEA">
    <vt:lpwstr/>
  </property>
  <property fmtid="{D5CDD505-2E9C-101B-9397-08002B2CF9AE}" pid="13" name="IVID4456AA12">
    <vt:lpwstr/>
  </property>
  <property fmtid="{D5CDD505-2E9C-101B-9397-08002B2CF9AE}" pid="14" name="IVID177918E6">
    <vt:lpwstr/>
  </property>
  <property fmtid="{D5CDD505-2E9C-101B-9397-08002B2CF9AE}" pid="15" name="IVID40041C57">
    <vt:lpwstr/>
  </property>
  <property fmtid="{D5CDD505-2E9C-101B-9397-08002B2CF9AE}" pid="16" name="IVID45F8339B">
    <vt:lpwstr/>
  </property>
</Properties>
</file>