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Communication\Publications\Quarterly Bulletins\Tables\2025\202503\"/>
    </mc:Choice>
  </mc:AlternateContent>
  <bookViews>
    <workbookView xWindow="-48" yWindow="-48" windowWidth="19248" windowHeight="5496" tabRatio="656"/>
  </bookViews>
  <sheets>
    <sheet name="Govt debt" sheetId="14" r:id="rId1"/>
  </sheets>
  <externalReferences>
    <externalReference r:id="rId2"/>
  </externalReferences>
  <definedNames>
    <definedName name="_Regression_Int" localSheetId="0" hidden="1">1</definedName>
    <definedName name="_xlnm.Print_Area" localSheetId="0">'Govt debt'!$A$1:$G$111</definedName>
  </definedNames>
  <calcPr calcId="162913"/>
</workbook>
</file>

<file path=xl/calcChain.xml><?xml version="1.0" encoding="utf-8"?>
<calcChain xmlns="http://schemas.openxmlformats.org/spreadsheetml/2006/main">
  <c r="C32" i="14" l="1"/>
  <c r="E54" i="14" l="1"/>
  <c r="G54" i="14"/>
  <c r="C54" i="14"/>
  <c r="O52" i="14" l="1"/>
  <c r="L10" i="14"/>
  <c r="L11" i="14"/>
  <c r="L12" i="14"/>
  <c r="L13" i="14"/>
  <c r="L14" i="14"/>
  <c r="L15" i="14"/>
  <c r="L16" i="14"/>
  <c r="L17" i="14"/>
  <c r="L18" i="14"/>
  <c r="L19" i="14"/>
  <c r="C53" i="14" l="1"/>
  <c r="B53" i="14" s="1"/>
  <c r="K52" i="14" l="1"/>
  <c r="Q47" i="14" l="1"/>
  <c r="D17" i="14" l="1"/>
  <c r="C17" i="14" s="1"/>
  <c r="D18" i="14"/>
  <c r="O51" i="14"/>
  <c r="Q50" i="14"/>
  <c r="L50" i="14"/>
  <c r="O50" i="14" s="1"/>
  <c r="Q49" i="14"/>
  <c r="L49" i="14"/>
  <c r="O49" i="14" s="1"/>
  <c r="Q48" i="14"/>
  <c r="L48" i="14"/>
  <c r="L47" i="14"/>
  <c r="Q46" i="14"/>
  <c r="L46" i="14"/>
  <c r="L43" i="14"/>
  <c r="L42" i="14"/>
  <c r="L40" i="14"/>
  <c r="O38" i="14"/>
  <c r="L38" i="14" s="1"/>
  <c r="O37" i="14"/>
  <c r="L37" i="14" s="1"/>
  <c r="O36" i="14"/>
  <c r="L36" i="14"/>
  <c r="O35" i="14"/>
  <c r="L35" i="14" s="1"/>
  <c r="O34" i="14"/>
  <c r="L34" i="14"/>
  <c r="O33" i="14"/>
  <c r="L33" i="14" s="1"/>
  <c r="O32" i="14"/>
  <c r="L32" i="14"/>
  <c r="O31" i="14"/>
  <c r="L31" i="14" s="1"/>
  <c r="O30" i="14"/>
  <c r="L30" i="14"/>
  <c r="O29" i="14"/>
  <c r="L29" i="14" s="1"/>
  <c r="O28" i="14"/>
  <c r="L28" i="14"/>
  <c r="O27" i="14"/>
  <c r="L27" i="14" s="1"/>
  <c r="Q23" i="14"/>
  <c r="O23" i="14"/>
  <c r="O21" i="14"/>
  <c r="O20" i="14"/>
  <c r="O19" i="14"/>
  <c r="Q16" i="14"/>
  <c r="Q15" i="14"/>
  <c r="Q14" i="14"/>
  <c r="Q13" i="14"/>
  <c r="Q12" i="14"/>
  <c r="Q10" i="14"/>
  <c r="M10" i="14"/>
  <c r="E52" i="14"/>
  <c r="C52" i="14" s="1"/>
  <c r="G51" i="14"/>
  <c r="E51" i="14"/>
  <c r="C51" i="14" s="1"/>
  <c r="G50" i="14"/>
  <c r="E50" i="14"/>
  <c r="C50" i="14" s="1"/>
  <c r="G49" i="14"/>
  <c r="E49" i="14"/>
  <c r="C49" i="14" s="1"/>
  <c r="G48" i="14"/>
  <c r="E48" i="14"/>
  <c r="C48" i="14" s="1"/>
  <c r="G47" i="14"/>
  <c r="E47" i="14"/>
  <c r="C47" i="14" s="1"/>
  <c r="G46" i="14"/>
  <c r="E46" i="14"/>
  <c r="C46" i="14" s="1"/>
  <c r="G45" i="14"/>
  <c r="E45" i="14"/>
  <c r="C45" i="14" s="1"/>
  <c r="G44" i="14"/>
  <c r="E44" i="14"/>
  <c r="C44" i="14" s="1"/>
  <c r="G43" i="14"/>
  <c r="E43" i="14"/>
  <c r="C43" i="14" s="1"/>
  <c r="G42" i="14"/>
  <c r="E42" i="14"/>
  <c r="C42" i="14" s="1"/>
  <c r="G41" i="14"/>
  <c r="E41" i="14"/>
  <c r="C41" i="14" s="1"/>
  <c r="G40" i="14"/>
  <c r="E40" i="14"/>
  <c r="C40" i="14" s="1"/>
  <c r="G39" i="14"/>
  <c r="E39" i="14"/>
  <c r="G38" i="14"/>
  <c r="E38" i="14"/>
  <c r="C38" i="14" s="1"/>
  <c r="G37" i="14"/>
  <c r="E37" i="14"/>
  <c r="C37" i="14" s="1"/>
  <c r="C36" i="14"/>
  <c r="B36" i="14" s="1"/>
  <c r="C35" i="14"/>
  <c r="B35" i="14" s="1"/>
  <c r="C34" i="14"/>
  <c r="B34" i="14" s="1"/>
  <c r="C33" i="14"/>
  <c r="B33" i="14" s="1"/>
  <c r="B32" i="14"/>
  <c r="C31" i="14"/>
  <c r="B31" i="14" s="1"/>
  <c r="C30" i="14"/>
  <c r="B30" i="14" s="1"/>
  <c r="C29" i="14"/>
  <c r="B29" i="14" s="1"/>
  <c r="C28" i="14"/>
  <c r="B28" i="14" s="1"/>
  <c r="C27" i="14"/>
  <c r="B27" i="14" s="1"/>
  <c r="C26" i="14"/>
  <c r="B26" i="14" s="1"/>
  <c r="C25" i="14"/>
  <c r="B25" i="14" s="1"/>
  <c r="C24" i="14"/>
  <c r="B24" i="14" s="1"/>
  <c r="C23" i="14"/>
  <c r="B23" i="14" s="1"/>
  <c r="C22" i="14"/>
  <c r="B22" i="14" s="1"/>
  <c r="C21" i="14"/>
  <c r="B21" i="14" s="1"/>
  <c r="C20" i="14"/>
  <c r="B20" i="14" s="1"/>
  <c r="G19" i="14"/>
  <c r="C19" i="14"/>
  <c r="G18" i="14"/>
  <c r="C18" i="14"/>
  <c r="G17" i="14"/>
  <c r="G16" i="14"/>
  <c r="C16" i="14"/>
  <c r="G15" i="14"/>
  <c r="C15" i="14"/>
  <c r="B15" i="14" s="1"/>
  <c r="G14" i="14"/>
  <c r="C14" i="14"/>
  <c r="G13" i="14"/>
  <c r="C13" i="14"/>
  <c r="G12" i="14"/>
  <c r="C12" i="14"/>
  <c r="G11" i="14"/>
  <c r="C11" i="14"/>
  <c r="G10" i="14"/>
  <c r="C10" i="14"/>
  <c r="G9" i="14"/>
  <c r="C9" i="14"/>
  <c r="B47" i="14" l="1"/>
  <c r="B48" i="14"/>
  <c r="B40" i="14"/>
  <c r="B37" i="14"/>
  <c r="O46" i="14"/>
  <c r="B51" i="14"/>
  <c r="B41" i="14"/>
  <c r="B44" i="14"/>
  <c r="B38" i="14"/>
  <c r="B45" i="14"/>
  <c r="B46" i="14"/>
  <c r="B49" i="14"/>
  <c r="O47" i="14"/>
  <c r="B19" i="14"/>
  <c r="B50" i="14"/>
  <c r="B52" i="14"/>
  <c r="O48" i="14"/>
  <c r="B13" i="14"/>
  <c r="B11" i="14"/>
  <c r="B17" i="14"/>
  <c r="B10" i="14"/>
  <c r="B12" i="14"/>
  <c r="B14" i="14"/>
  <c r="B9" i="14"/>
  <c r="B16" i="14"/>
  <c r="B18" i="14"/>
</calcChain>
</file>

<file path=xl/comments1.xml><?xml version="1.0" encoding="utf-8"?>
<comments xmlns="http://schemas.openxmlformats.org/spreadsheetml/2006/main">
  <authors>
    <author>Kasanita Kisina</author>
  </authors>
  <commentList>
    <comment ref="B53" authorId="0" shapeId="0">
      <text>
        <r>
          <rPr>
            <sz val="9"/>
            <color indexed="81"/>
            <rFont val="Tahoma"/>
            <family val="2"/>
          </rPr>
          <t xml:space="preserve">update from BS2024-25
</t>
        </r>
      </text>
    </comment>
    <comment ref="B54" authorId="0" shapeId="0">
      <text>
        <r>
          <rPr>
            <sz val="9"/>
            <color indexed="81"/>
            <rFont val="Tahoma"/>
            <family val="2"/>
          </rPr>
          <t xml:space="preserve">
Table15 - BS2024-25</t>
        </r>
      </text>
    </comment>
    <comment ref="E54" authorId="0" shapeId="0">
      <text>
        <r>
          <rPr>
            <sz val="9"/>
            <color indexed="81"/>
            <rFont val="Tahoma"/>
            <family val="2"/>
          </rPr>
          <t>16% total debt</t>
        </r>
      </text>
    </comment>
    <comment ref="G54" authorId="0" shapeId="0">
      <text>
        <r>
          <rPr>
            <b/>
            <sz val="9"/>
            <color indexed="81"/>
            <rFont val="Tahoma"/>
            <family val="2"/>
          </rPr>
          <t>84% total debt</t>
        </r>
      </text>
    </comment>
  </commentList>
</comments>
</file>

<file path=xl/sharedStrings.xml><?xml version="1.0" encoding="utf-8"?>
<sst xmlns="http://schemas.openxmlformats.org/spreadsheetml/2006/main" count="146" uniqueCount="85">
  <si>
    <t>1980/81</t>
  </si>
  <si>
    <t>1981/82</t>
  </si>
  <si>
    <t>1982/83</t>
  </si>
  <si>
    <t>1983/84</t>
  </si>
  <si>
    <t>1984/85</t>
  </si>
  <si>
    <t>1985/86</t>
  </si>
  <si>
    <t>1986/87</t>
  </si>
  <si>
    <t>1987/88</t>
  </si>
  <si>
    <t>1988/89</t>
  </si>
  <si>
    <t>1989/90</t>
  </si>
  <si>
    <t>1990/91</t>
  </si>
  <si>
    <t>1991/92</t>
  </si>
  <si>
    <t>1992/93</t>
  </si>
  <si>
    <t>1993/94</t>
  </si>
  <si>
    <t>1994/95</t>
  </si>
  <si>
    <t>1995/96</t>
  </si>
  <si>
    <t>1996/97</t>
  </si>
  <si>
    <t>1998/99</t>
  </si>
  <si>
    <t>Total</t>
  </si>
  <si>
    <t>Other</t>
  </si>
  <si>
    <t>1997/98</t>
  </si>
  <si>
    <t>-</t>
  </si>
  <si>
    <t>debt</t>
  </si>
  <si>
    <t>1/</t>
  </si>
  <si>
    <t>--</t>
  </si>
  <si>
    <t>...</t>
  </si>
  <si>
    <t>Tonga</t>
  </si>
  <si>
    <t xml:space="preserve"> (Millions of pa'anga)</t>
  </si>
  <si>
    <t xml:space="preserve">End </t>
  </si>
  <si>
    <t>Domestic Debt</t>
  </si>
  <si>
    <t>of :</t>
  </si>
  <si>
    <t>govt.</t>
  </si>
  <si>
    <t>Bank</t>
  </si>
  <si>
    <t xml:space="preserve"> Bonds</t>
  </si>
  <si>
    <t>loans</t>
  </si>
  <si>
    <t xml:space="preserve"> on</t>
  </si>
  <si>
    <t xml:space="preserve"> issue</t>
  </si>
  <si>
    <t>1979/80</t>
  </si>
  <si>
    <t xml:space="preserve">1988/89 </t>
  </si>
  <si>
    <t xml:space="preserve">1989/90 </t>
  </si>
  <si>
    <t>Statutory Boards</t>
  </si>
  <si>
    <t xml:space="preserve"> Tonga</t>
  </si>
  <si>
    <t xml:space="preserve"> Other</t>
  </si>
  <si>
    <t>2000/01</t>
  </si>
  <si>
    <t>2001/02</t>
  </si>
  <si>
    <t>2004/05</t>
  </si>
  <si>
    <t>2003/04</t>
  </si>
  <si>
    <t>2002/03</t>
  </si>
  <si>
    <t>1999/00</t>
  </si>
  <si>
    <t>External Debt</t>
  </si>
  <si>
    <t>Development</t>
  </si>
  <si>
    <t>estimated</t>
  </si>
  <si>
    <t>2005/06</t>
  </si>
  <si>
    <t>2006/07</t>
  </si>
  <si>
    <t>2007/08</t>
  </si>
  <si>
    <t>2008/09</t>
  </si>
  <si>
    <t>2009/10</t>
  </si>
  <si>
    <t>2010/11</t>
  </si>
  <si>
    <t>2011/12</t>
  </si>
  <si>
    <t xml:space="preserve">  </t>
  </si>
  <si>
    <t>2012/13</t>
  </si>
  <si>
    <t>2013/14</t>
  </si>
  <si>
    <t>2014/15</t>
  </si>
  <si>
    <t>2015/16</t>
  </si>
  <si>
    <t>forecast</t>
  </si>
  <si>
    <t xml:space="preserve"> Table E1:  GOVERNMENT OF TONGA: NATIONAL DEBT OUTSTANDING</t>
  </si>
  <si>
    <t xml:space="preserve">  Table E2:  GOVERNMENT OF TONGA: DOMESTIC LOANS OUTSTANDING</t>
  </si>
  <si>
    <t>2016/17</t>
  </si>
  <si>
    <t xml:space="preserve">2017/18 </t>
  </si>
  <si>
    <t xml:space="preserve">2018/19 </t>
  </si>
  <si>
    <t>2017/18</t>
  </si>
  <si>
    <t xml:space="preserve">2019/20 </t>
  </si>
  <si>
    <t xml:space="preserve">2020/21 </t>
  </si>
  <si>
    <t xml:space="preserve">2021/22 </t>
  </si>
  <si>
    <t xml:space="preserve">Limited </t>
  </si>
  <si>
    <r>
      <rPr>
        <b/>
        <sz val="8"/>
        <rFont val="Arial Narrow"/>
        <family val="2"/>
      </rPr>
      <t>Source</t>
    </r>
    <r>
      <rPr>
        <sz val="8"/>
        <rFont val="Arial Narrow"/>
        <family val="2"/>
      </rPr>
      <t>:  Ministry of Finance &amp; National Planning; National Reserve Bank of Tonga</t>
    </r>
  </si>
  <si>
    <t>2022/23</t>
  </si>
  <si>
    <t>See notes on Guide to Quarterly Bulletin</t>
  </si>
  <si>
    <r>
      <t>2023/24</t>
    </r>
    <r>
      <rPr>
        <b/>
        <i/>
        <sz val="8.8000000000000007"/>
        <rFont val="Arial Narrow"/>
        <family val="2"/>
      </rPr>
      <t xml:space="preserve"> f</t>
    </r>
  </si>
  <si>
    <t>S19</t>
  </si>
  <si>
    <t>S20</t>
  </si>
  <si>
    <r>
      <t>2024/25</t>
    </r>
    <r>
      <rPr>
        <b/>
        <i/>
        <sz val="8.8000000000000007"/>
        <rFont val="Arial Narrow"/>
        <family val="2"/>
      </rPr>
      <t xml:space="preserve"> f</t>
    </r>
  </si>
  <si>
    <t>domestic</t>
  </si>
  <si>
    <t>Electric Power</t>
  </si>
  <si>
    <t>Telecom.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</si>
</sst>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(* #,##0.00_);_(* \(#,##0.00\);_(* &quot;-&quot;??_);_(@_)"/>
    <numFmt numFmtId="165" formatCode="0.00_)"/>
    <numFmt numFmtId="166" formatCode="dd\-mmm\-yy_)"/>
    <numFmt numFmtId="167" formatCode="hh:mm:ss\ \a\.m\./\p\.m\._)"/>
    <numFmt numFmtId="168" formatCode="0.0_)"/>
    <numFmt numFmtId="169" formatCode="0_)"/>
    <numFmt numFmtId="170" formatCode="_(* #,##0_);_(* \(#,##0\);_(* &quot;-&quot;??_);_(@_)"/>
    <numFmt numFmtId="171" formatCode="_(* #,##0.000000_);_(* \(#,##0.000000\);_(* &quot;-&quot;??_);_(@_)"/>
    <numFmt numFmtId="172" formatCode="0.0_m_m_m_m"/>
    <numFmt numFmtId="173" formatCode="0.0%"/>
  </numFmts>
  <fonts count="12" x14ac:knownFonts="1">
    <font>
      <sz val="10"/>
      <name val="Arial"/>
    </font>
    <font>
      <sz val="10"/>
      <name val="Arial"/>
      <family val="2"/>
    </font>
    <font>
      <sz val="8"/>
      <name val="Arial Narrow"/>
      <family val="2"/>
    </font>
    <font>
      <b/>
      <sz val="10"/>
      <name val="Arial Narrow"/>
      <family val="2"/>
    </font>
    <font>
      <b/>
      <sz val="11"/>
      <name val="Arial Narrow"/>
      <family val="2"/>
    </font>
    <font>
      <b/>
      <sz val="8"/>
      <name val="Arial Narrow"/>
      <family val="2"/>
    </font>
    <font>
      <sz val="8"/>
      <color rgb="FFFF0000"/>
      <name val="Arial Narrow"/>
      <family val="2"/>
    </font>
    <font>
      <sz val="8"/>
      <color rgb="FF231F20"/>
      <name val="Arial Narrow"/>
      <family val="2"/>
    </font>
    <font>
      <b/>
      <i/>
      <sz val="8.8000000000000007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165" fontId="2" fillId="0" borderId="0"/>
    <xf numFmtId="165" fontId="2" fillId="0" borderId="0"/>
    <xf numFmtId="165" fontId="2" fillId="0" borderId="0"/>
    <xf numFmtId="0" fontId="2" fillId="0" borderId="0"/>
    <xf numFmtId="9" fontId="11" fillId="0" borderId="0" applyFont="0" applyFill="0" applyBorder="0" applyAlignment="0" applyProtection="0"/>
  </cellStyleXfs>
  <cellXfs count="106">
    <xf numFmtId="0" fontId="0" fillId="0" borderId="0" xfId="0"/>
    <xf numFmtId="165" fontId="2" fillId="0" borderId="0" xfId="4" applyFont="1"/>
    <xf numFmtId="165" fontId="3" fillId="0" borderId="0" xfId="3" applyFont="1" applyAlignment="1">
      <alignment horizontal="left" vertical="center"/>
    </xf>
    <xf numFmtId="0" fontId="2" fillId="0" borderId="0" xfId="5"/>
    <xf numFmtId="165" fontId="2" fillId="0" borderId="0" xfId="2"/>
    <xf numFmtId="165" fontId="4" fillId="0" borderId="0" xfId="2" applyFont="1" applyAlignment="1">
      <alignment horizontal="centerContinuous"/>
    </xf>
    <xf numFmtId="165" fontId="3" fillId="0" borderId="0" xfId="2" applyFont="1" applyAlignment="1" applyProtection="1">
      <alignment horizontal="centerContinuous" vertical="top"/>
    </xf>
    <xf numFmtId="165" fontId="2" fillId="0" borderId="0" xfId="2" applyAlignment="1">
      <alignment horizontal="centerContinuous" vertical="top"/>
    </xf>
    <xf numFmtId="165" fontId="5" fillId="0" borderId="4" xfId="2" applyFont="1" applyBorder="1" applyAlignment="1" applyProtection="1">
      <alignment horizontal="center"/>
    </xf>
    <xf numFmtId="165" fontId="5" fillId="0" borderId="5" xfId="2" applyFont="1" applyBorder="1" applyAlignment="1" applyProtection="1">
      <alignment horizontal="center"/>
    </xf>
    <xf numFmtId="165" fontId="5" fillId="0" borderId="5" xfId="2" applyFont="1" applyBorder="1" applyAlignment="1" applyProtection="1">
      <alignment horizontal="centerContinuous" vertical="center"/>
    </xf>
    <xf numFmtId="165" fontId="5" fillId="0" borderId="5" xfId="2" applyFont="1" applyBorder="1" applyAlignment="1">
      <alignment horizontal="centerContinuous" vertical="center"/>
    </xf>
    <xf numFmtId="165" fontId="5" fillId="0" borderId="1" xfId="2" applyFont="1" applyBorder="1" applyAlignment="1" applyProtection="1">
      <alignment horizontal="center"/>
    </xf>
    <xf numFmtId="165" fontId="5" fillId="0" borderId="0" xfId="2" applyFont="1" applyBorder="1" applyAlignment="1" applyProtection="1">
      <alignment horizontal="center"/>
    </xf>
    <xf numFmtId="165" fontId="5" fillId="0" borderId="6" xfId="2" applyFont="1" applyBorder="1" applyAlignment="1" applyProtection="1">
      <alignment horizontal="center"/>
    </xf>
    <xf numFmtId="165" fontId="2" fillId="0" borderId="0" xfId="2" applyAlignment="1"/>
    <xf numFmtId="165" fontId="5" fillId="0" borderId="7" xfId="2" applyFont="1" applyBorder="1" applyAlignment="1">
      <alignment horizontal="center"/>
    </xf>
    <xf numFmtId="165" fontId="5" fillId="0" borderId="2" xfId="2" applyFont="1" applyBorder="1" applyAlignment="1" applyProtection="1">
      <alignment horizontal="center" vertical="top"/>
    </xf>
    <xf numFmtId="165" fontId="5" fillId="0" borderId="3" xfId="2" applyFont="1" applyBorder="1" applyAlignment="1" applyProtection="1">
      <alignment horizontal="center" vertical="top"/>
    </xf>
    <xf numFmtId="165" fontId="2" fillId="0" borderId="0" xfId="2" applyAlignment="1">
      <alignment vertical="top"/>
    </xf>
    <xf numFmtId="165" fontId="2" fillId="0" borderId="5" xfId="2" applyBorder="1" applyAlignment="1" applyProtection="1">
      <alignment horizontal="center"/>
    </xf>
    <xf numFmtId="165" fontId="2" fillId="0" borderId="7" xfId="2" applyBorder="1" applyAlignment="1" applyProtection="1">
      <alignment horizontal="center"/>
    </xf>
    <xf numFmtId="165" fontId="5" fillId="0" borderId="1" xfId="2" applyFont="1" applyBorder="1" applyAlignment="1" applyProtection="1">
      <alignment horizontal="center" vertical="top"/>
    </xf>
    <xf numFmtId="169" fontId="2" fillId="0" borderId="0" xfId="2" applyNumberFormat="1"/>
    <xf numFmtId="170" fontId="2" fillId="0" borderId="0" xfId="1" applyNumberFormat="1" applyFont="1"/>
    <xf numFmtId="165" fontId="3" fillId="0" borderId="0" xfId="2" applyFont="1" applyAlignment="1">
      <alignment horizontal="centerContinuous" vertical="top"/>
    </xf>
    <xf numFmtId="165" fontId="5" fillId="0" borderId="3" xfId="2" applyFont="1" applyBorder="1" applyAlignment="1">
      <alignment horizontal="center"/>
    </xf>
    <xf numFmtId="165" fontId="5" fillId="0" borderId="3" xfId="2" applyFont="1" applyBorder="1" applyAlignment="1">
      <alignment horizontal="center" vertical="top"/>
    </xf>
    <xf numFmtId="165" fontId="5" fillId="0" borderId="8" xfId="2" applyFont="1" applyBorder="1" applyAlignment="1">
      <alignment horizontal="center" vertical="top"/>
    </xf>
    <xf numFmtId="165" fontId="2" fillId="0" borderId="0" xfId="2" applyBorder="1" applyAlignment="1" applyProtection="1">
      <alignment horizontal="center"/>
    </xf>
    <xf numFmtId="165" fontId="2" fillId="0" borderId="0" xfId="2" applyBorder="1"/>
    <xf numFmtId="165" fontId="2" fillId="0" borderId="0" xfId="2" applyAlignment="1">
      <alignment horizontal="center" vertical="top"/>
    </xf>
    <xf numFmtId="165" fontId="2" fillId="0" borderId="0" xfId="2" applyAlignment="1" applyProtection="1">
      <alignment horizontal="left"/>
    </xf>
    <xf numFmtId="165" fontId="2" fillId="0" borderId="0" xfId="2" applyBorder="1" applyAlignment="1">
      <alignment horizontal="center"/>
    </xf>
    <xf numFmtId="165" fontId="2" fillId="0" borderId="0" xfId="2" applyBorder="1" applyAlignment="1">
      <alignment vertical="top"/>
    </xf>
    <xf numFmtId="165" fontId="2" fillId="0" borderId="0" xfId="2" applyBorder="1" applyAlignment="1" applyProtection="1">
      <alignment horizontal="left"/>
    </xf>
    <xf numFmtId="166" fontId="2" fillId="0" borderId="0" xfId="2" applyNumberFormat="1" applyProtection="1"/>
    <xf numFmtId="165" fontId="2" fillId="0" borderId="0" xfId="2" applyAlignment="1" applyProtection="1">
      <alignment horizontal="fill"/>
    </xf>
    <xf numFmtId="168" fontId="2" fillId="0" borderId="0" xfId="2" applyNumberFormat="1" applyFill="1" applyBorder="1" applyAlignment="1" applyProtection="1">
      <alignment horizontal="right"/>
    </xf>
    <xf numFmtId="165" fontId="2" fillId="0" borderId="0" xfId="2" applyFill="1" applyAlignment="1">
      <alignment horizontal="center" vertical="top"/>
    </xf>
    <xf numFmtId="165" fontId="5" fillId="0" borderId="6" xfId="2" applyFont="1" applyBorder="1" applyAlignment="1" applyProtection="1">
      <alignment horizontal="center" vertical="center"/>
    </xf>
    <xf numFmtId="165" fontId="2" fillId="0" borderId="0" xfId="2" applyAlignment="1">
      <alignment horizontal="center"/>
    </xf>
    <xf numFmtId="165" fontId="2" fillId="0" borderId="0" xfId="2" applyBorder="1" applyAlignment="1">
      <alignment horizontal="center" vertical="top"/>
    </xf>
    <xf numFmtId="170" fontId="2" fillId="0" borderId="0" xfId="1" applyNumberFormat="1" applyFont="1" applyAlignment="1">
      <alignment horizontal="center"/>
    </xf>
    <xf numFmtId="165" fontId="5" fillId="0" borderId="0" xfId="2" applyFont="1" applyBorder="1" applyAlignment="1">
      <alignment horizontal="centerContinuous" vertical="center"/>
    </xf>
    <xf numFmtId="165" fontId="2" fillId="0" borderId="3" xfId="2" applyBorder="1" applyAlignment="1">
      <alignment horizontal="centerContinuous" vertical="top"/>
    </xf>
    <xf numFmtId="165" fontId="5" fillId="0" borderId="6" xfId="2" applyFont="1" applyBorder="1" applyAlignment="1">
      <alignment horizontal="centerContinuous" vertical="center"/>
    </xf>
    <xf numFmtId="165" fontId="5" fillId="0" borderId="7" xfId="2" applyFont="1" applyBorder="1" applyAlignment="1" applyProtection="1">
      <alignment horizontal="center" vertical="top"/>
    </xf>
    <xf numFmtId="165" fontId="3" fillId="0" borderId="0" xfId="3" applyFont="1" applyAlignment="1">
      <alignment horizontal="right" vertical="center"/>
    </xf>
    <xf numFmtId="168" fontId="2" fillId="0" borderId="0" xfId="2" applyNumberFormat="1" applyFill="1" applyBorder="1" applyAlignment="1" applyProtection="1">
      <alignment horizontal="center"/>
    </xf>
    <xf numFmtId="172" fontId="2" fillId="0" borderId="0" xfId="2" applyNumberFormat="1" applyFill="1" applyBorder="1" applyAlignment="1" applyProtection="1"/>
    <xf numFmtId="165" fontId="5" fillId="0" borderId="5" xfId="2" applyFont="1" applyBorder="1" applyAlignment="1">
      <alignment horizontal="center" vertical="center"/>
    </xf>
    <xf numFmtId="165" fontId="5" fillId="0" borderId="0" xfId="2" applyFont="1" applyBorder="1" applyAlignment="1" applyProtection="1">
      <alignment horizontal="center" vertical="top"/>
    </xf>
    <xf numFmtId="165" fontId="5" fillId="0" borderId="0" xfId="2" applyFont="1" applyBorder="1" applyAlignment="1">
      <alignment horizontal="center" vertical="top"/>
    </xf>
    <xf numFmtId="165" fontId="2" fillId="0" borderId="0" xfId="2" applyFont="1" applyBorder="1"/>
    <xf numFmtId="165" fontId="2" fillId="0" borderId="0" xfId="2" applyBorder="1" applyAlignment="1">
      <alignment horizontal="left"/>
    </xf>
    <xf numFmtId="165" fontId="5" fillId="0" borderId="2" xfId="2" applyFont="1" applyBorder="1" applyAlignment="1" applyProtection="1">
      <alignment horizontal="center"/>
    </xf>
    <xf numFmtId="165" fontId="5" fillId="0" borderId="8" xfId="2" applyFont="1" applyBorder="1" applyAlignment="1" applyProtection="1">
      <alignment horizontal="center" vertical="top"/>
    </xf>
    <xf numFmtId="168" fontId="2" fillId="0" borderId="0" xfId="2" applyNumberFormat="1" applyFill="1" applyBorder="1" applyAlignment="1">
      <alignment horizontal="center"/>
    </xf>
    <xf numFmtId="165" fontId="2" fillId="0" borderId="0" xfId="2" applyFill="1" applyBorder="1" applyAlignment="1">
      <alignment horizontal="center"/>
    </xf>
    <xf numFmtId="165" fontId="2" fillId="0" borderId="0" xfId="2" applyFill="1" applyAlignment="1"/>
    <xf numFmtId="165" fontId="6" fillId="0" borderId="0" xfId="2" applyFont="1"/>
    <xf numFmtId="165" fontId="6" fillId="0" borderId="0" xfId="2" applyFont="1" applyFill="1" applyBorder="1" applyAlignment="1">
      <alignment horizontal="left"/>
    </xf>
    <xf numFmtId="165" fontId="2" fillId="0" borderId="0" xfId="2" applyAlignment="1">
      <alignment horizontal="left" vertical="top"/>
    </xf>
    <xf numFmtId="165" fontId="5" fillId="0" borderId="5" xfId="2" applyFont="1" applyFill="1" applyBorder="1" applyAlignment="1" applyProtection="1">
      <alignment horizontal="center"/>
    </xf>
    <xf numFmtId="165" fontId="5" fillId="0" borderId="0" xfId="2" applyFont="1" applyFill="1" applyBorder="1" applyAlignment="1" applyProtection="1">
      <alignment horizontal="center" vertical="top"/>
    </xf>
    <xf numFmtId="165" fontId="5" fillId="0" borderId="3" xfId="2" applyFont="1" applyFill="1" applyBorder="1" applyAlignment="1" applyProtection="1">
      <alignment horizontal="center" vertical="top"/>
    </xf>
    <xf numFmtId="165" fontId="6" fillId="0" borderId="0" xfId="2" applyFont="1" applyAlignment="1"/>
    <xf numFmtId="165" fontId="6" fillId="0" borderId="0" xfId="2" applyFont="1" applyFill="1" applyAlignment="1"/>
    <xf numFmtId="0" fontId="7" fillId="0" borderId="0" xfId="0" applyFont="1" applyAlignment="1">
      <alignment horizontal="left" vertical="center"/>
    </xf>
    <xf numFmtId="165" fontId="5" fillId="0" borderId="0" xfId="2" applyFont="1"/>
    <xf numFmtId="165" fontId="2" fillId="0" borderId="5" xfId="2" applyBorder="1" applyAlignment="1" applyProtection="1">
      <alignment vertical="center"/>
    </xf>
    <xf numFmtId="165" fontId="2" fillId="0" borderId="6" xfId="2" applyBorder="1" applyAlignment="1" applyProtection="1">
      <alignment vertical="center"/>
    </xf>
    <xf numFmtId="165" fontId="2" fillId="0" borderId="0" xfId="2" applyBorder="1" applyAlignment="1" applyProtection="1">
      <alignment vertical="center"/>
    </xf>
    <xf numFmtId="165" fontId="2" fillId="0" borderId="7" xfId="2" applyBorder="1" applyAlignment="1" applyProtection="1">
      <alignment vertical="center"/>
    </xf>
    <xf numFmtId="165" fontId="2" fillId="0" borderId="0" xfId="2" applyFill="1" applyAlignment="1">
      <alignment horizontal="center"/>
    </xf>
    <xf numFmtId="165" fontId="2" fillId="0" borderId="3" xfId="2" applyBorder="1" applyAlignment="1" applyProtection="1">
      <alignment vertical="center"/>
    </xf>
    <xf numFmtId="165" fontId="2" fillId="0" borderId="3" xfId="2" applyBorder="1" applyAlignment="1" applyProtection="1">
      <alignment horizontal="center"/>
    </xf>
    <xf numFmtId="165" fontId="2" fillId="0" borderId="8" xfId="2" applyBorder="1" applyAlignment="1" applyProtection="1">
      <alignment vertical="center"/>
    </xf>
    <xf numFmtId="165" fontId="2" fillId="0" borderId="8" xfId="2" applyBorder="1" applyAlignment="1" applyProtection="1">
      <alignment horizontal="center"/>
    </xf>
    <xf numFmtId="165" fontId="5" fillId="0" borderId="1" xfId="2" applyFont="1" applyFill="1" applyBorder="1" applyAlignment="1" applyProtection="1">
      <alignment horizontal="center"/>
    </xf>
    <xf numFmtId="165" fontId="2" fillId="0" borderId="0" xfId="2" applyFill="1" applyBorder="1" applyAlignment="1" applyProtection="1">
      <alignment horizontal="center"/>
    </xf>
    <xf numFmtId="165" fontId="2" fillId="0" borderId="7" xfId="2" applyFill="1" applyBorder="1" applyAlignment="1" applyProtection="1">
      <alignment horizontal="center"/>
    </xf>
    <xf numFmtId="165" fontId="5" fillId="0" borderId="2" xfId="2" quotePrefix="1" applyFont="1" applyBorder="1" applyAlignment="1" applyProtection="1">
      <alignment horizontal="center"/>
    </xf>
    <xf numFmtId="165" fontId="2" fillId="0" borderId="5" xfId="2" applyBorder="1" applyAlignment="1">
      <alignment horizontal="center" vertical="center"/>
    </xf>
    <xf numFmtId="165" fontId="2" fillId="0" borderId="0" xfId="2" applyBorder="1" applyAlignment="1" applyProtection="1">
      <alignment horizontal="center" vertical="center"/>
    </xf>
    <xf numFmtId="165" fontId="2" fillId="0" borderId="3" xfId="2" applyBorder="1" applyAlignment="1" applyProtection="1">
      <alignment horizontal="center" vertical="center"/>
    </xf>
    <xf numFmtId="165" fontId="2" fillId="0" borderId="0" xfId="2" applyAlignment="1" applyProtection="1">
      <alignment horizontal="center"/>
    </xf>
    <xf numFmtId="165" fontId="2" fillId="0" borderId="0" xfId="2" applyBorder="1" applyAlignment="1" applyProtection="1">
      <alignment horizontal="center" vertical="top"/>
    </xf>
    <xf numFmtId="0" fontId="2" fillId="0" borderId="0" xfId="5" applyAlignment="1">
      <alignment horizontal="center"/>
    </xf>
    <xf numFmtId="171" fontId="2" fillId="0" borderId="0" xfId="1" applyNumberFormat="1" applyFont="1" applyAlignment="1">
      <alignment horizontal="center"/>
    </xf>
    <xf numFmtId="165" fontId="5" fillId="0" borderId="0" xfId="2" applyFont="1" applyBorder="1" applyAlignment="1">
      <alignment horizontal="center"/>
    </xf>
    <xf numFmtId="165" fontId="2" fillId="0" borderId="5" xfId="2" applyBorder="1" applyAlignment="1" applyProtection="1">
      <alignment horizontal="center" vertical="center"/>
    </xf>
    <xf numFmtId="165" fontId="2" fillId="0" borderId="0" xfId="2" quotePrefix="1" applyAlignment="1" applyProtection="1">
      <alignment horizontal="center"/>
    </xf>
    <xf numFmtId="167" fontId="2" fillId="0" borderId="0" xfId="2" applyNumberFormat="1" applyAlignment="1" applyProtection="1">
      <alignment horizontal="center"/>
    </xf>
    <xf numFmtId="165" fontId="2" fillId="0" borderId="3" xfId="2" applyBorder="1" applyAlignment="1">
      <alignment horizontal="center"/>
    </xf>
    <xf numFmtId="173" fontId="2" fillId="0" borderId="0" xfId="6" applyNumberFormat="1" applyFont="1" applyAlignment="1">
      <alignment horizontal="center"/>
    </xf>
    <xf numFmtId="165" fontId="6" fillId="0" borderId="0" xfId="2" applyFont="1" applyFill="1"/>
    <xf numFmtId="165" fontId="2" fillId="0" borderId="0" xfId="2" applyFont="1" applyBorder="1" applyAlignment="1">
      <alignment horizontal="left" vertical="top" wrapText="1"/>
    </xf>
    <xf numFmtId="165" fontId="4" fillId="0" borderId="0" xfId="2" applyFont="1" applyAlignment="1" applyProtection="1">
      <alignment horizontal="center"/>
    </xf>
    <xf numFmtId="0" fontId="0" fillId="0" borderId="0" xfId="0" applyAlignment="1"/>
    <xf numFmtId="165" fontId="3" fillId="0" borderId="0" xfId="2" applyFont="1" applyAlignment="1" applyProtection="1">
      <alignment horizontal="center" vertical="top"/>
    </xf>
    <xf numFmtId="0" fontId="0" fillId="0" borderId="0" xfId="0" applyAlignment="1">
      <alignment vertical="top"/>
    </xf>
    <xf numFmtId="165" fontId="3" fillId="0" borderId="0" xfId="2" applyFont="1" applyBorder="1" applyAlignment="1" applyProtection="1">
      <alignment horizontal="center" vertical="top"/>
    </xf>
    <xf numFmtId="0" fontId="0" fillId="0" borderId="0" xfId="0" applyBorder="1" applyAlignment="1">
      <alignment vertical="top"/>
    </xf>
    <xf numFmtId="165" fontId="5" fillId="0" borderId="9" xfId="2" applyFont="1" applyBorder="1" applyAlignment="1" applyProtection="1">
      <alignment horizontal="center" vertical="center"/>
    </xf>
  </cellXfs>
  <cellStyles count="7">
    <cellStyle name="Comma" xfId="1" builtinId="3"/>
    <cellStyle name="Normal" xfId="0" builtinId="0"/>
    <cellStyle name="Normal_E_DEBT" xfId="2"/>
    <cellStyle name="Normal_E_DEVEXP" xfId="3"/>
    <cellStyle name="Normal_E_RECEXP" xfId="4"/>
    <cellStyle name="Normal_TABLE_E" xfId="5"/>
    <cellStyle name="Percent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re%20Data/Fiscal%20Sector/Government%20Debt/Debt%20database_working%20file-15-5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"/>
      <sheetName val="Database"/>
      <sheetName val="Graphs"/>
      <sheetName val="External"/>
      <sheetName val="Domestic"/>
      <sheetName val="EMC"/>
      <sheetName val="BS"/>
      <sheetName val="Guarantee"/>
    </sheetNames>
    <sheetDataSet>
      <sheetData sheetId="0"/>
      <sheetData sheetId="1"/>
      <sheetData sheetId="2"/>
      <sheetData sheetId="3"/>
      <sheetData sheetId="4"/>
      <sheetData sheetId="5">
        <row r="4">
          <cell r="B4">
            <v>157.9</v>
          </cell>
          <cell r="C4">
            <v>22.5</v>
          </cell>
        </row>
        <row r="5">
          <cell r="B5">
            <v>202.4</v>
          </cell>
          <cell r="C5">
            <v>22.5</v>
          </cell>
        </row>
        <row r="6">
          <cell r="B6">
            <v>228.8</v>
          </cell>
          <cell r="C6">
            <v>29.5</v>
          </cell>
        </row>
        <row r="7">
          <cell r="B7">
            <v>274.89999999999998</v>
          </cell>
          <cell r="C7">
            <v>29.5</v>
          </cell>
        </row>
        <row r="8">
          <cell r="B8">
            <v>322.60000000000002</v>
          </cell>
          <cell r="C8">
            <v>29.5</v>
          </cell>
        </row>
        <row r="9">
          <cell r="B9">
            <v>343.154</v>
          </cell>
          <cell r="C9">
            <v>29.5</v>
          </cell>
        </row>
        <row r="10">
          <cell r="B10">
            <v>336.5</v>
          </cell>
          <cell r="C10">
            <v>29.5</v>
          </cell>
        </row>
        <row r="11">
          <cell r="B11">
            <v>382.82413400000002</v>
          </cell>
          <cell r="C11">
            <v>41</v>
          </cell>
        </row>
        <row r="12">
          <cell r="B12">
            <v>395.78048965065994</v>
          </cell>
          <cell r="C12">
            <v>53.670999999999999</v>
          </cell>
        </row>
        <row r="13">
          <cell r="B13">
            <v>394.31876999999997</v>
          </cell>
          <cell r="C13">
            <v>56.348999999999997</v>
          </cell>
        </row>
        <row r="14">
          <cell r="B14">
            <v>434.95228400000002</v>
          </cell>
          <cell r="C14">
            <v>64.837000000000003</v>
          </cell>
        </row>
        <row r="15">
          <cell r="B15">
            <v>423.16026900000003</v>
          </cell>
          <cell r="C15">
            <v>57.348999999999997</v>
          </cell>
        </row>
        <row r="16">
          <cell r="B16">
            <v>418.43036599999999</v>
          </cell>
          <cell r="C16">
            <v>69.986000000000004</v>
          </cell>
        </row>
        <row r="17">
          <cell r="B17">
            <v>439.1</v>
          </cell>
          <cell r="C17">
            <v>67.3</v>
          </cell>
        </row>
        <row r="18">
          <cell r="B18">
            <v>437.2</v>
          </cell>
          <cell r="C18">
            <v>67.3</v>
          </cell>
        </row>
        <row r="19">
          <cell r="C19">
            <v>67.3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syncVertical="1" syncRef="A19" transitionEvaluation="1">
    <outlinePr summaryRight="0"/>
    <pageSetUpPr fitToPage="1"/>
  </sheetPr>
  <dimension ref="A1:R127"/>
  <sheetViews>
    <sheetView showGridLines="0" tabSelected="1" showOutlineSymbols="0" topLeftCell="A19" zoomScale="80" zoomScaleNormal="80" workbookViewId="0">
      <selection activeCell="G58" sqref="G58"/>
    </sheetView>
  </sheetViews>
  <sheetFormatPr defaultColWidth="6.44140625" defaultRowHeight="10.199999999999999" outlineLevelRow="1" x14ac:dyDescent="0.2"/>
  <cols>
    <col min="1" max="1" width="10.6640625" style="4" customWidth="1"/>
    <col min="2" max="3" width="9.109375" style="41" customWidth="1"/>
    <col min="4" max="4" width="12.33203125" style="41" customWidth="1"/>
    <col min="5" max="5" width="10.77734375" style="41" customWidth="1"/>
    <col min="6" max="6" width="1.77734375" style="4" customWidth="1"/>
    <col min="7" max="7" width="11.77734375" style="41" customWidth="1"/>
    <col min="8" max="8" width="5.77734375" style="4" customWidth="1"/>
    <col min="9" max="9" width="7" style="4" bestFit="1" customWidth="1"/>
    <col min="10" max="10" width="4.5546875" style="4" customWidth="1"/>
    <col min="11" max="11" width="13.109375" style="4" customWidth="1"/>
    <col min="12" max="12" width="10.33203125" style="4" customWidth="1"/>
    <col min="13" max="13" width="10.77734375" style="4" customWidth="1"/>
    <col min="14" max="14" width="12.44140625" style="4" customWidth="1"/>
    <col min="15" max="15" width="10.33203125" style="41" customWidth="1"/>
    <col min="16" max="16" width="1.88671875" style="4" customWidth="1"/>
    <col min="17" max="17" width="11.5546875" style="4" customWidth="1"/>
    <col min="18" max="18" width="8.44140625" style="4" customWidth="1"/>
    <col min="19" max="19" width="8.21875" style="4" customWidth="1"/>
    <col min="20" max="16384" width="6.44140625" style="4"/>
  </cols>
  <sheetData>
    <row r="1" spans="1:17" ht="20.25" customHeight="1" x14ac:dyDescent="0.2">
      <c r="A1" s="2" t="s">
        <v>79</v>
      </c>
      <c r="G1" s="48"/>
      <c r="Q1" s="48" t="s">
        <v>80</v>
      </c>
    </row>
    <row r="2" spans="1:17" ht="13.8" x14ac:dyDescent="0.25">
      <c r="A2" s="99" t="s">
        <v>65</v>
      </c>
      <c r="B2" s="100"/>
      <c r="C2" s="100"/>
      <c r="D2" s="100"/>
      <c r="E2" s="100"/>
      <c r="F2" s="100"/>
      <c r="G2" s="100"/>
      <c r="H2" s="5"/>
      <c r="I2" s="5"/>
      <c r="J2" s="5"/>
      <c r="K2" s="99" t="s">
        <v>66</v>
      </c>
      <c r="L2" s="100"/>
      <c r="M2" s="100"/>
      <c r="N2" s="100"/>
      <c r="O2" s="100"/>
      <c r="P2" s="100"/>
      <c r="Q2" s="100"/>
    </row>
    <row r="3" spans="1:17" ht="12" customHeight="1" x14ac:dyDescent="0.2">
      <c r="A3" s="101" t="s">
        <v>27</v>
      </c>
      <c r="B3" s="102"/>
      <c r="C3" s="102"/>
      <c r="D3" s="102"/>
      <c r="E3" s="102"/>
      <c r="F3" s="102"/>
      <c r="G3" s="102"/>
      <c r="H3" s="7"/>
      <c r="I3" s="7"/>
      <c r="J3" s="7"/>
      <c r="K3" s="103" t="s">
        <v>27</v>
      </c>
      <c r="L3" s="104"/>
      <c r="M3" s="104"/>
      <c r="N3" s="104"/>
      <c r="O3" s="104"/>
      <c r="P3" s="104"/>
      <c r="Q3" s="104"/>
    </row>
    <row r="4" spans="1:17" ht="6.75" customHeight="1" x14ac:dyDescent="0.2">
      <c r="A4" s="6"/>
      <c r="B4" s="31"/>
      <c r="C4" s="31"/>
      <c r="E4" s="31"/>
      <c r="F4" s="45"/>
      <c r="G4" s="31"/>
      <c r="H4" s="7"/>
      <c r="I4" s="7"/>
      <c r="J4" s="7"/>
    </row>
    <row r="5" spans="1:17" ht="15" customHeight="1" x14ac:dyDescent="0.2">
      <c r="A5" s="8" t="s">
        <v>28</v>
      </c>
      <c r="B5" s="9" t="s">
        <v>18</v>
      </c>
      <c r="C5" s="105" t="s">
        <v>29</v>
      </c>
      <c r="D5" s="105"/>
      <c r="E5" s="105"/>
      <c r="F5" s="44"/>
      <c r="G5" s="40" t="s">
        <v>49</v>
      </c>
      <c r="K5" s="8" t="s">
        <v>28</v>
      </c>
      <c r="L5" s="9" t="s">
        <v>18</v>
      </c>
      <c r="M5" s="10" t="s">
        <v>40</v>
      </c>
      <c r="N5" s="11"/>
      <c r="O5" s="51"/>
      <c r="P5" s="51"/>
      <c r="Q5" s="46" t="s">
        <v>19</v>
      </c>
    </row>
    <row r="6" spans="1:17" s="15" customFormat="1" ht="15" customHeight="1" x14ac:dyDescent="0.2">
      <c r="A6" s="12" t="s">
        <v>30</v>
      </c>
      <c r="B6" s="13" t="s">
        <v>31</v>
      </c>
      <c r="C6" s="9" t="s">
        <v>18</v>
      </c>
      <c r="D6" s="9" t="s">
        <v>32</v>
      </c>
      <c r="E6" s="9" t="s">
        <v>33</v>
      </c>
      <c r="F6" s="13"/>
      <c r="G6" s="14" t="s">
        <v>18</v>
      </c>
      <c r="K6" s="12" t="s">
        <v>30</v>
      </c>
      <c r="L6" s="13" t="s">
        <v>31</v>
      </c>
      <c r="M6" s="64" t="s">
        <v>26</v>
      </c>
      <c r="N6" s="64" t="s">
        <v>41</v>
      </c>
      <c r="O6" s="9" t="s">
        <v>42</v>
      </c>
      <c r="P6" s="13"/>
      <c r="Q6" s="14" t="s">
        <v>26</v>
      </c>
    </row>
    <row r="7" spans="1:17" ht="9" customHeight="1" x14ac:dyDescent="0.2">
      <c r="A7" s="12"/>
      <c r="B7" s="13" t="s">
        <v>22</v>
      </c>
      <c r="C7" s="91" t="s">
        <v>82</v>
      </c>
      <c r="D7" s="13" t="s">
        <v>34</v>
      </c>
      <c r="E7" s="13" t="s">
        <v>35</v>
      </c>
      <c r="F7" s="13"/>
      <c r="G7" s="16" t="s">
        <v>51</v>
      </c>
      <c r="K7" s="22"/>
      <c r="L7" s="52" t="s">
        <v>34</v>
      </c>
      <c r="M7" s="65" t="s">
        <v>83</v>
      </c>
      <c r="N7" s="65" t="s">
        <v>84</v>
      </c>
      <c r="O7" s="52" t="s">
        <v>23</v>
      </c>
      <c r="P7" s="53"/>
      <c r="Q7" s="47" t="s">
        <v>50</v>
      </c>
    </row>
    <row r="8" spans="1:17" s="19" customFormat="1" ht="13.5" customHeight="1" x14ac:dyDescent="0.2">
      <c r="A8" s="17"/>
      <c r="B8" s="27"/>
      <c r="C8" s="27" t="s">
        <v>22</v>
      </c>
      <c r="D8" s="26"/>
      <c r="E8" s="18" t="s">
        <v>36</v>
      </c>
      <c r="F8" s="18"/>
      <c r="G8" s="28"/>
      <c r="K8" s="56"/>
      <c r="L8" s="26"/>
      <c r="M8" s="66" t="s">
        <v>74</v>
      </c>
      <c r="N8" s="66"/>
      <c r="O8" s="27"/>
      <c r="P8" s="27"/>
      <c r="Q8" s="57" t="s">
        <v>32</v>
      </c>
    </row>
    <row r="9" spans="1:17" ht="15" customHeight="1" outlineLevel="1" x14ac:dyDescent="0.2">
      <c r="A9" s="8" t="s">
        <v>37</v>
      </c>
      <c r="B9" s="84">
        <f t="shared" ref="B9:B37" si="0">C9+G9</f>
        <v>1.0569999999999999</v>
      </c>
      <c r="C9" s="92">
        <f t="shared" ref="C9:C26" si="1">SUM(D9:E9)</f>
        <v>1.0569999999999999</v>
      </c>
      <c r="D9" s="20" t="s">
        <v>24</v>
      </c>
      <c r="E9" s="92">
        <v>1.0569999999999999</v>
      </c>
      <c r="F9" s="71"/>
      <c r="G9" s="72">
        <f t="shared" ref="G9:G19" si="2">SUM(H9:J9)</f>
        <v>0</v>
      </c>
      <c r="K9" s="12" t="s">
        <v>37</v>
      </c>
      <c r="L9" s="29">
        <v>1.64</v>
      </c>
      <c r="M9" s="29">
        <v>0.57999999999999996</v>
      </c>
      <c r="N9" s="29" t="s">
        <v>24</v>
      </c>
      <c r="O9" s="33">
        <v>0.01</v>
      </c>
      <c r="P9" s="29"/>
      <c r="Q9" s="21">
        <v>0.55000000000000004</v>
      </c>
    </row>
    <row r="10" spans="1:17" ht="15" customHeight="1" outlineLevel="1" x14ac:dyDescent="0.2">
      <c r="A10" s="12" t="s">
        <v>0</v>
      </c>
      <c r="B10" s="85">
        <f t="shared" si="0"/>
        <v>1.3069999999999999</v>
      </c>
      <c r="C10" s="85">
        <f t="shared" si="1"/>
        <v>1.3069999999999999</v>
      </c>
      <c r="D10" s="29" t="s">
        <v>24</v>
      </c>
      <c r="E10" s="85">
        <v>1.3069999999999999</v>
      </c>
      <c r="F10" s="73"/>
      <c r="G10" s="74">
        <f t="shared" si="2"/>
        <v>0</v>
      </c>
      <c r="K10" s="12" t="s">
        <v>0</v>
      </c>
      <c r="L10" s="29">
        <f t="shared" ref="L10:L18" si="3">SUM(M10:Q10)</f>
        <v>2.5032380000000001</v>
      </c>
      <c r="M10" s="29">
        <f>(0.35+0.074+0.459338+0.125)-0.3471</f>
        <v>0.66123799999999999</v>
      </c>
      <c r="N10" s="29" t="s">
        <v>24</v>
      </c>
      <c r="O10" s="33">
        <v>0.01</v>
      </c>
      <c r="P10" s="29"/>
      <c r="Q10" s="21">
        <f>0.55+0.25+1.032</f>
        <v>1.8320000000000001</v>
      </c>
    </row>
    <row r="11" spans="1:17" ht="15" customHeight="1" outlineLevel="1" x14ac:dyDescent="0.2">
      <c r="A11" s="12" t="s">
        <v>1</v>
      </c>
      <c r="B11" s="85">
        <f t="shared" si="0"/>
        <v>1.2370000000000001</v>
      </c>
      <c r="C11" s="85">
        <f t="shared" si="1"/>
        <v>1.2370000000000001</v>
      </c>
      <c r="D11" s="29" t="s">
        <v>24</v>
      </c>
      <c r="E11" s="85">
        <v>1.2370000000000001</v>
      </c>
      <c r="F11" s="73"/>
      <c r="G11" s="74">
        <f t="shared" si="2"/>
        <v>0</v>
      </c>
      <c r="K11" s="12" t="s">
        <v>1</v>
      </c>
      <c r="L11" s="29">
        <f t="shared" si="3"/>
        <v>2.7589999999999999</v>
      </c>
      <c r="M11" s="29">
        <v>0.61899999999999999</v>
      </c>
      <c r="N11" s="29" t="s">
        <v>24</v>
      </c>
      <c r="O11" s="33">
        <v>0.01</v>
      </c>
      <c r="P11" s="29"/>
      <c r="Q11" s="21">
        <v>2.13</v>
      </c>
    </row>
    <row r="12" spans="1:17" ht="15" customHeight="1" outlineLevel="1" x14ac:dyDescent="0.2">
      <c r="A12" s="12" t="s">
        <v>2</v>
      </c>
      <c r="B12" s="85">
        <f t="shared" si="0"/>
        <v>1.2370000000000001</v>
      </c>
      <c r="C12" s="85">
        <f t="shared" si="1"/>
        <v>1.2370000000000001</v>
      </c>
      <c r="D12" s="29" t="s">
        <v>25</v>
      </c>
      <c r="E12" s="85">
        <v>1.2370000000000001</v>
      </c>
      <c r="F12" s="73"/>
      <c r="G12" s="74">
        <f t="shared" si="2"/>
        <v>0</v>
      </c>
      <c r="K12" s="12" t="s">
        <v>2</v>
      </c>
      <c r="L12" s="29">
        <f t="shared" si="3"/>
        <v>4.0647950000000002</v>
      </c>
      <c r="M12" s="29">
        <v>1.9894210000000001</v>
      </c>
      <c r="N12" s="29">
        <v>0</v>
      </c>
      <c r="O12" s="33">
        <v>0.01</v>
      </c>
      <c r="P12" s="29"/>
      <c r="Q12" s="21">
        <f>0.55+0.25+1.265374</f>
        <v>2.0653740000000003</v>
      </c>
    </row>
    <row r="13" spans="1:17" ht="15" customHeight="1" outlineLevel="1" x14ac:dyDescent="0.2">
      <c r="A13" s="12" t="s">
        <v>3</v>
      </c>
      <c r="B13" s="85">
        <f t="shared" si="0"/>
        <v>1.667</v>
      </c>
      <c r="C13" s="85">
        <f t="shared" si="1"/>
        <v>1.667</v>
      </c>
      <c r="D13" s="29" t="s">
        <v>25</v>
      </c>
      <c r="E13" s="85">
        <v>1.667</v>
      </c>
      <c r="F13" s="73"/>
      <c r="G13" s="74">
        <f t="shared" si="2"/>
        <v>0</v>
      </c>
      <c r="K13" s="12" t="s">
        <v>3</v>
      </c>
      <c r="L13" s="29">
        <f t="shared" si="3"/>
        <v>3.9965760000000001</v>
      </c>
      <c r="M13" s="29">
        <v>1.944987</v>
      </c>
      <c r="N13" s="29">
        <v>0</v>
      </c>
      <c r="O13" s="33">
        <v>0.01</v>
      </c>
      <c r="P13" s="29"/>
      <c r="Q13" s="21">
        <f>0.526215+0.25+1.265374</f>
        <v>2.0415890000000001</v>
      </c>
    </row>
    <row r="14" spans="1:17" ht="15" customHeight="1" outlineLevel="1" x14ac:dyDescent="0.2">
      <c r="A14" s="12" t="s">
        <v>4</v>
      </c>
      <c r="B14" s="85">
        <f t="shared" si="0"/>
        <v>4.4729999999999999</v>
      </c>
      <c r="C14" s="85">
        <f t="shared" si="1"/>
        <v>4.4729999999999999</v>
      </c>
      <c r="D14" s="29">
        <v>2.8130000000000002</v>
      </c>
      <c r="E14" s="85">
        <v>1.66</v>
      </c>
      <c r="F14" s="73"/>
      <c r="G14" s="74">
        <f t="shared" si="2"/>
        <v>0</v>
      </c>
      <c r="K14" s="12" t="s">
        <v>4</v>
      </c>
      <c r="L14" s="29">
        <f t="shared" si="3"/>
        <v>3.9282179999999998</v>
      </c>
      <c r="M14" s="29">
        <v>1.902865</v>
      </c>
      <c r="N14" s="29">
        <v>0.172851</v>
      </c>
      <c r="O14" s="33">
        <v>0.01</v>
      </c>
      <c r="P14" s="29"/>
      <c r="Q14" s="21">
        <f>0.477569+0.25+1.114933</f>
        <v>1.8425020000000001</v>
      </c>
    </row>
    <row r="15" spans="1:17" ht="15" customHeight="1" outlineLevel="1" x14ac:dyDescent="0.2">
      <c r="A15" s="12" t="s">
        <v>5</v>
      </c>
      <c r="B15" s="85">
        <f>C15+G15</f>
        <v>3.99</v>
      </c>
      <c r="C15" s="85">
        <f t="shared" si="1"/>
        <v>3.99</v>
      </c>
      <c r="D15" s="29">
        <v>2.5790000000000002</v>
      </c>
      <c r="E15" s="85">
        <v>1.411</v>
      </c>
      <c r="F15" s="73"/>
      <c r="G15" s="74">
        <f t="shared" si="2"/>
        <v>0</v>
      </c>
      <c r="K15" s="12" t="s">
        <v>5</v>
      </c>
      <c r="L15" s="29">
        <f t="shared" si="3"/>
        <v>3.6991870000000002</v>
      </c>
      <c r="M15" s="29">
        <v>1.8261529999999999</v>
      </c>
      <c r="N15" s="29">
        <v>0.172851</v>
      </c>
      <c r="O15" s="33">
        <v>0.01</v>
      </c>
      <c r="P15" s="29"/>
      <c r="Q15" s="21">
        <f>0.427453+0.25+1.01273</f>
        <v>1.690183</v>
      </c>
    </row>
    <row r="16" spans="1:17" ht="15" customHeight="1" outlineLevel="1" x14ac:dyDescent="0.2">
      <c r="A16" s="12" t="s">
        <v>6</v>
      </c>
      <c r="B16" s="85">
        <f t="shared" si="0"/>
        <v>3.6049999999999995</v>
      </c>
      <c r="C16" s="85">
        <f t="shared" si="1"/>
        <v>3.6049999999999995</v>
      </c>
      <c r="D16" s="29">
        <v>2.3439999999999999</v>
      </c>
      <c r="E16" s="85">
        <v>1.2609999999999999</v>
      </c>
      <c r="F16" s="73"/>
      <c r="G16" s="74">
        <f t="shared" si="2"/>
        <v>0</v>
      </c>
      <c r="K16" s="12" t="s">
        <v>6</v>
      </c>
      <c r="L16" s="29">
        <f t="shared" si="3"/>
        <v>3.4255100000000001</v>
      </c>
      <c r="M16" s="29">
        <v>1.736186</v>
      </c>
      <c r="N16" s="29">
        <v>0.172851</v>
      </c>
      <c r="O16" s="33">
        <v>0.01</v>
      </c>
      <c r="P16" s="29"/>
      <c r="Q16" s="21">
        <f>0.375821+0.25+0.880652</f>
        <v>1.506473</v>
      </c>
    </row>
    <row r="17" spans="1:17" ht="15" customHeight="1" outlineLevel="1" x14ac:dyDescent="0.2">
      <c r="A17" s="12" t="s">
        <v>7</v>
      </c>
      <c r="B17" s="85">
        <f t="shared" si="0"/>
        <v>4.0279999999999996</v>
      </c>
      <c r="C17" s="85">
        <f t="shared" si="1"/>
        <v>4.0279999999999996</v>
      </c>
      <c r="D17" s="29">
        <f>2.11+0.657</f>
        <v>2.7669999999999999</v>
      </c>
      <c r="E17" s="85">
        <v>1.2609999999999999</v>
      </c>
      <c r="F17" s="73"/>
      <c r="G17" s="74">
        <f t="shared" si="2"/>
        <v>0</v>
      </c>
      <c r="K17" s="12" t="s">
        <v>7</v>
      </c>
      <c r="L17" s="29">
        <f t="shared" si="3"/>
        <v>5.5299999999999994</v>
      </c>
      <c r="M17" s="29">
        <v>1.63</v>
      </c>
      <c r="N17" s="29">
        <v>0.67</v>
      </c>
      <c r="O17" s="33">
        <v>0.01</v>
      </c>
      <c r="P17" s="29"/>
      <c r="Q17" s="21">
        <v>3.22</v>
      </c>
    </row>
    <row r="18" spans="1:17" ht="15" customHeight="1" outlineLevel="1" x14ac:dyDescent="0.2">
      <c r="A18" s="12" t="s">
        <v>38</v>
      </c>
      <c r="B18" s="85">
        <f t="shared" si="0"/>
        <v>6.0250000000000004</v>
      </c>
      <c r="C18" s="85">
        <f t="shared" si="1"/>
        <v>6.0250000000000004</v>
      </c>
      <c r="D18" s="29">
        <f>1.875+0.89</f>
        <v>2.7650000000000001</v>
      </c>
      <c r="E18" s="85">
        <v>3.26</v>
      </c>
      <c r="F18" s="73"/>
      <c r="G18" s="74">
        <f t="shared" si="2"/>
        <v>0</v>
      </c>
      <c r="K18" s="12" t="s">
        <v>8</v>
      </c>
      <c r="L18" s="29">
        <f t="shared" si="3"/>
        <v>7.7169999999999996</v>
      </c>
      <c r="M18" s="29">
        <v>1.54</v>
      </c>
      <c r="N18" s="29">
        <v>0.67</v>
      </c>
      <c r="O18" s="33">
        <v>0.01</v>
      </c>
      <c r="P18" s="29"/>
      <c r="Q18" s="21">
        <v>5.4969999999999999</v>
      </c>
    </row>
    <row r="19" spans="1:17" ht="15" customHeight="1" outlineLevel="1" x14ac:dyDescent="0.2">
      <c r="A19" s="12" t="s">
        <v>39</v>
      </c>
      <c r="B19" s="85">
        <f t="shared" si="0"/>
        <v>9.1920000000000002</v>
      </c>
      <c r="C19" s="85">
        <f t="shared" si="1"/>
        <v>9.1920000000000002</v>
      </c>
      <c r="D19" s="29">
        <v>5.931</v>
      </c>
      <c r="E19" s="85">
        <v>3.2610000000000001</v>
      </c>
      <c r="F19" s="73"/>
      <c r="G19" s="74">
        <f t="shared" si="2"/>
        <v>0</v>
      </c>
      <c r="K19" s="12" t="s">
        <v>9</v>
      </c>
      <c r="L19" s="29">
        <f>SUM(M19:Q19)</f>
        <v>15.201000000000001</v>
      </c>
      <c r="M19" s="29">
        <v>1.43</v>
      </c>
      <c r="N19" s="29">
        <v>1.034</v>
      </c>
      <c r="O19" s="33">
        <f>0.01+0.705</f>
        <v>0.71499999999999997</v>
      </c>
      <c r="P19" s="29"/>
      <c r="Q19" s="21">
        <v>12.022</v>
      </c>
    </row>
    <row r="20" spans="1:17" ht="15" customHeight="1" outlineLevel="1" x14ac:dyDescent="0.2">
      <c r="A20" s="12" t="s">
        <v>10</v>
      </c>
      <c r="B20" s="85">
        <f t="shared" si="0"/>
        <v>71.260000000000005</v>
      </c>
      <c r="C20" s="85">
        <f t="shared" si="1"/>
        <v>12.754999999999999</v>
      </c>
      <c r="D20" s="29">
        <v>5.4939999999999998</v>
      </c>
      <c r="E20" s="85">
        <v>7.2610000000000001</v>
      </c>
      <c r="F20" s="73"/>
      <c r="G20" s="74">
        <v>58.505000000000003</v>
      </c>
      <c r="K20" s="12" t="s">
        <v>10</v>
      </c>
      <c r="L20" s="29">
        <v>16.768999999999998</v>
      </c>
      <c r="M20" s="29">
        <v>1.321</v>
      </c>
      <c r="N20" s="29">
        <v>1.0169999999999999</v>
      </c>
      <c r="O20" s="33">
        <f>0.005+0.705</f>
        <v>0.71</v>
      </c>
      <c r="P20" s="29"/>
      <c r="Q20" s="21">
        <v>13.032999999999999</v>
      </c>
    </row>
    <row r="21" spans="1:17" ht="15" customHeight="1" outlineLevel="1" x14ac:dyDescent="0.2">
      <c r="A21" s="12" t="s">
        <v>11</v>
      </c>
      <c r="B21" s="85">
        <f t="shared" si="0"/>
        <v>70.632000000000005</v>
      </c>
      <c r="C21" s="85">
        <f t="shared" si="1"/>
        <v>13.852</v>
      </c>
      <c r="D21" s="29">
        <v>6.5910000000000002</v>
      </c>
      <c r="E21" s="85">
        <v>7.2610000000000001</v>
      </c>
      <c r="F21" s="73"/>
      <c r="G21" s="74">
        <v>56.78</v>
      </c>
      <c r="K21" s="12" t="s">
        <v>11</v>
      </c>
      <c r="L21" s="29">
        <v>18.03</v>
      </c>
      <c r="M21" s="29">
        <v>1.306</v>
      </c>
      <c r="N21" s="29">
        <v>1.0169999999999999</v>
      </c>
      <c r="O21" s="33">
        <f>0.004+0.705</f>
        <v>0.70899999999999996</v>
      </c>
      <c r="P21" s="29"/>
      <c r="Q21" s="21">
        <v>14.486000000000001</v>
      </c>
    </row>
    <row r="22" spans="1:17" ht="15" customHeight="1" outlineLevel="1" x14ac:dyDescent="0.2">
      <c r="A22" s="12" t="s">
        <v>12</v>
      </c>
      <c r="B22" s="85">
        <f t="shared" si="0"/>
        <v>80.771580999999998</v>
      </c>
      <c r="C22" s="85">
        <f t="shared" si="1"/>
        <v>17.840491</v>
      </c>
      <c r="D22" s="29">
        <v>6.5793030000000003</v>
      </c>
      <c r="E22" s="85">
        <v>11.261188000000001</v>
      </c>
      <c r="F22" s="73"/>
      <c r="G22" s="74">
        <v>62.93108999999999</v>
      </c>
      <c r="K22" s="12" t="s">
        <v>12</v>
      </c>
      <c r="L22" s="29">
        <v>19.068487999999999</v>
      </c>
      <c r="M22" s="29">
        <v>1.5666979999999999</v>
      </c>
      <c r="N22" s="29">
        <v>0.84641900000000003</v>
      </c>
      <c r="O22" s="33">
        <v>0.70886499999999997</v>
      </c>
      <c r="P22" s="29"/>
      <c r="Q22" s="21">
        <v>15.219372999999999</v>
      </c>
    </row>
    <row r="23" spans="1:17" ht="15" customHeight="1" outlineLevel="1" x14ac:dyDescent="0.2">
      <c r="A23" s="12" t="s">
        <v>13</v>
      </c>
      <c r="B23" s="85">
        <f t="shared" si="0"/>
        <v>81.426527000000007</v>
      </c>
      <c r="C23" s="85">
        <f t="shared" si="1"/>
        <v>15.256448000000001</v>
      </c>
      <c r="D23" s="29">
        <v>0</v>
      </c>
      <c r="E23" s="85">
        <v>15.256448000000001</v>
      </c>
      <c r="F23" s="73"/>
      <c r="G23" s="74">
        <v>66.170079000000001</v>
      </c>
      <c r="K23" s="12" t="s">
        <v>13</v>
      </c>
      <c r="L23" s="29">
        <v>19.102028000000001</v>
      </c>
      <c r="M23" s="29">
        <v>1.832638</v>
      </c>
      <c r="N23" s="29">
        <v>0.81396500000000005</v>
      </c>
      <c r="O23" s="33">
        <f>((12236+1050000)-(8000+412769))/1000000</f>
        <v>0.64146700000000001</v>
      </c>
      <c r="P23" s="29"/>
      <c r="Q23" s="21">
        <f>((550000+250000+1265374+2604051+2634890+1166523+50000+1518769+1532118+1293122+4117488+2058770)-(519364+198480+1264216+131799+23330+27778+421880+459635))/1000000</f>
        <v>15.994623000000001</v>
      </c>
    </row>
    <row r="24" spans="1:17" ht="15" customHeight="1" outlineLevel="1" x14ac:dyDescent="0.2">
      <c r="A24" s="12" t="s">
        <v>14</v>
      </c>
      <c r="B24" s="85">
        <f t="shared" si="0"/>
        <v>88.965551000000005</v>
      </c>
      <c r="C24" s="85">
        <f t="shared" si="1"/>
        <v>14.868448000000001</v>
      </c>
      <c r="D24" s="29">
        <v>0</v>
      </c>
      <c r="E24" s="85">
        <v>14.868448000000001</v>
      </c>
      <c r="F24" s="73"/>
      <c r="G24" s="74">
        <v>74.097103000000004</v>
      </c>
      <c r="K24" s="12" t="s">
        <v>14</v>
      </c>
      <c r="L24" s="29">
        <v>27.101778000000003</v>
      </c>
      <c r="M24" s="29">
        <v>8.1022390000000009</v>
      </c>
      <c r="N24" s="29">
        <v>0.75981399999999999</v>
      </c>
      <c r="O24" s="33">
        <v>0.88113600000000003</v>
      </c>
      <c r="P24" s="29"/>
      <c r="Q24" s="21">
        <v>17.247129000000001</v>
      </c>
    </row>
    <row r="25" spans="1:17" ht="15" customHeight="1" outlineLevel="1" x14ac:dyDescent="0.2">
      <c r="A25" s="12" t="s">
        <v>15</v>
      </c>
      <c r="B25" s="85">
        <f t="shared" si="0"/>
        <v>88.676151000000004</v>
      </c>
      <c r="C25" s="85">
        <f t="shared" si="1"/>
        <v>14.924898000000001</v>
      </c>
      <c r="D25" s="29">
        <v>0</v>
      </c>
      <c r="E25" s="85">
        <v>14.924898000000001</v>
      </c>
      <c r="F25" s="73"/>
      <c r="G25" s="74">
        <v>73.751253000000005</v>
      </c>
      <c r="K25" s="12" t="s">
        <v>15</v>
      </c>
      <c r="L25" s="29">
        <v>26.953410999999999</v>
      </c>
      <c r="M25" s="29">
        <v>10.208178999999999</v>
      </c>
      <c r="N25" s="29">
        <v>6.9218000000000002E-2</v>
      </c>
      <c r="O25" s="33">
        <v>0.24341199999999999</v>
      </c>
      <c r="P25" s="29"/>
      <c r="Q25" s="21">
        <v>16.328226000000001</v>
      </c>
    </row>
    <row r="26" spans="1:17" ht="15" customHeight="1" outlineLevel="1" x14ac:dyDescent="0.2">
      <c r="A26" s="12" t="s">
        <v>16</v>
      </c>
      <c r="B26" s="85">
        <f t="shared" si="0"/>
        <v>82.236759000000006</v>
      </c>
      <c r="C26" s="85">
        <f t="shared" si="1"/>
        <v>15.201664999999998</v>
      </c>
      <c r="D26" s="29">
        <v>1.3317669999999999</v>
      </c>
      <c r="E26" s="85">
        <v>13.869897999999999</v>
      </c>
      <c r="F26" s="73"/>
      <c r="G26" s="74">
        <v>67.035094000000001</v>
      </c>
      <c r="K26" s="12" t="s">
        <v>16</v>
      </c>
      <c r="L26" s="29">
        <v>25.866062000000003</v>
      </c>
      <c r="M26" s="29">
        <v>9.5787030000000009</v>
      </c>
      <c r="N26" s="29">
        <v>0.56057500000000005</v>
      </c>
      <c r="O26" s="33">
        <v>0.28414699999999998</v>
      </c>
      <c r="P26" s="29"/>
      <c r="Q26" s="21">
        <v>15.345923000000001</v>
      </c>
    </row>
    <row r="27" spans="1:17" ht="15" customHeight="1" outlineLevel="1" x14ac:dyDescent="0.2">
      <c r="A27" s="12" t="s">
        <v>20</v>
      </c>
      <c r="B27" s="85">
        <f>C27+G27</f>
        <v>95.820000000000007</v>
      </c>
      <c r="C27" s="85">
        <f>SUM(D27:E27)</f>
        <v>15.39</v>
      </c>
      <c r="D27" s="29">
        <v>2.48</v>
      </c>
      <c r="E27" s="85">
        <v>12.91</v>
      </c>
      <c r="F27" s="73"/>
      <c r="G27" s="74">
        <v>80.430000000000007</v>
      </c>
      <c r="K27" s="12" t="s">
        <v>20</v>
      </c>
      <c r="L27" s="29">
        <f>SUM(M27:Q27)</f>
        <v>25.09</v>
      </c>
      <c r="M27" s="29">
        <v>8.94</v>
      </c>
      <c r="N27" s="29">
        <v>0.35</v>
      </c>
      <c r="O27" s="33">
        <f>0.09+1.2+0.26</f>
        <v>1.55</v>
      </c>
      <c r="P27" s="29"/>
      <c r="Q27" s="21">
        <v>14.25</v>
      </c>
    </row>
    <row r="28" spans="1:17" ht="15" customHeight="1" outlineLevel="1" x14ac:dyDescent="0.2">
      <c r="A28" s="12" t="s">
        <v>17</v>
      </c>
      <c r="B28" s="85">
        <f t="shared" si="0"/>
        <v>105.3</v>
      </c>
      <c r="C28" s="85">
        <f t="shared" ref="C28:C37" si="4">SUM(D28:E28)</f>
        <v>13.39</v>
      </c>
      <c r="D28" s="29">
        <v>2.39</v>
      </c>
      <c r="E28" s="85">
        <v>11</v>
      </c>
      <c r="F28" s="73"/>
      <c r="G28" s="74">
        <v>91.91</v>
      </c>
      <c r="K28" s="12" t="s">
        <v>17</v>
      </c>
      <c r="L28" s="29">
        <f t="shared" ref="L28:L36" si="5">SUM(M28:Q28)</f>
        <v>27.759999999999998</v>
      </c>
      <c r="M28" s="29">
        <v>8.66</v>
      </c>
      <c r="N28" s="29">
        <v>2.2599999999999998</v>
      </c>
      <c r="O28" s="33">
        <f>0.07+3.65+0.24</f>
        <v>3.96</v>
      </c>
      <c r="P28" s="29"/>
      <c r="Q28" s="21">
        <v>12.88</v>
      </c>
    </row>
    <row r="29" spans="1:17" ht="15" customHeight="1" outlineLevel="1" x14ac:dyDescent="0.2">
      <c r="A29" s="12" t="s">
        <v>48</v>
      </c>
      <c r="B29" s="85">
        <f t="shared" si="0"/>
        <v>109.30000000000001</v>
      </c>
      <c r="C29" s="85">
        <f t="shared" si="4"/>
        <v>13.9</v>
      </c>
      <c r="D29" s="29">
        <v>0</v>
      </c>
      <c r="E29" s="85">
        <v>13.9</v>
      </c>
      <c r="F29" s="73"/>
      <c r="G29" s="74">
        <v>95.4</v>
      </c>
      <c r="K29" s="12" t="s">
        <v>48</v>
      </c>
      <c r="L29" s="29">
        <f t="shared" si="5"/>
        <v>29.080000000000002</v>
      </c>
      <c r="M29" s="29">
        <v>8.82</v>
      </c>
      <c r="N29" s="29">
        <v>2.21</v>
      </c>
      <c r="O29" s="33">
        <f>0.06+3.65+0.19</f>
        <v>3.9</v>
      </c>
      <c r="P29" s="29"/>
      <c r="Q29" s="21">
        <v>14.15</v>
      </c>
    </row>
    <row r="30" spans="1:17" ht="15" customHeight="1" outlineLevel="1" x14ac:dyDescent="0.2">
      <c r="A30" s="12" t="s">
        <v>43</v>
      </c>
      <c r="B30" s="85">
        <f t="shared" si="0"/>
        <v>131.76</v>
      </c>
      <c r="C30" s="85">
        <f t="shared" si="4"/>
        <v>18.899999999999999</v>
      </c>
      <c r="D30" s="29">
        <v>0</v>
      </c>
      <c r="E30" s="85">
        <v>18.899999999999999</v>
      </c>
      <c r="F30" s="73"/>
      <c r="G30" s="74">
        <v>112.86</v>
      </c>
      <c r="K30" s="12" t="s">
        <v>43</v>
      </c>
      <c r="L30" s="29">
        <f t="shared" si="5"/>
        <v>27.35</v>
      </c>
      <c r="M30" s="29">
        <v>8.82</v>
      </c>
      <c r="N30" s="29">
        <v>2.62</v>
      </c>
      <c r="O30" s="33">
        <f>0.06+3.65+0.15</f>
        <v>3.86</v>
      </c>
      <c r="P30" s="29"/>
      <c r="Q30" s="21">
        <v>12.05</v>
      </c>
    </row>
    <row r="31" spans="1:17" ht="15" customHeight="1" outlineLevel="1" x14ac:dyDescent="0.2">
      <c r="A31" s="12" t="s">
        <v>44</v>
      </c>
      <c r="B31" s="85">
        <f>C31+G31</f>
        <v>156.29</v>
      </c>
      <c r="C31" s="85">
        <f>SUM(D31:E31)</f>
        <v>21.9</v>
      </c>
      <c r="D31" s="29">
        <v>1</v>
      </c>
      <c r="E31" s="85">
        <v>20.9</v>
      </c>
      <c r="F31" s="73"/>
      <c r="G31" s="74">
        <v>134.38999999999999</v>
      </c>
      <c r="K31" s="12" t="s">
        <v>44</v>
      </c>
      <c r="L31" s="29">
        <f t="shared" si="5"/>
        <v>30.7</v>
      </c>
      <c r="M31" s="29">
        <v>9.1199999999999992</v>
      </c>
      <c r="N31" s="29">
        <v>2.79</v>
      </c>
      <c r="O31" s="33">
        <f>0.05+4.35+3.65+0.15</f>
        <v>8.1999999999999993</v>
      </c>
      <c r="P31" s="29"/>
      <c r="Q31" s="21">
        <v>10.59</v>
      </c>
    </row>
    <row r="32" spans="1:17" ht="15" customHeight="1" outlineLevel="1" x14ac:dyDescent="0.2">
      <c r="A32" s="12" t="s">
        <v>47</v>
      </c>
      <c r="B32" s="85">
        <f t="shared" si="0"/>
        <v>178.82999999999998</v>
      </c>
      <c r="C32" s="85">
        <f>SUM(D32:E32)</f>
        <v>32.239999999999995</v>
      </c>
      <c r="D32" s="29">
        <v>6</v>
      </c>
      <c r="E32" s="85">
        <v>26.24</v>
      </c>
      <c r="F32" s="73"/>
      <c r="G32" s="74">
        <v>146.59</v>
      </c>
      <c r="K32" s="12" t="s">
        <v>47</v>
      </c>
      <c r="L32" s="29">
        <f t="shared" si="5"/>
        <v>35.549999999999997</v>
      </c>
      <c r="M32" s="29">
        <v>9.1199999999999992</v>
      </c>
      <c r="N32" s="29">
        <v>2.95</v>
      </c>
      <c r="O32" s="33">
        <f>2.28+8.08+3.65+0.15</f>
        <v>14.16</v>
      </c>
      <c r="P32" s="29"/>
      <c r="Q32" s="21">
        <v>9.32</v>
      </c>
    </row>
    <row r="33" spans="1:17" ht="15" customHeight="1" outlineLevel="1" x14ac:dyDescent="0.2">
      <c r="A33" s="12" t="s">
        <v>46</v>
      </c>
      <c r="B33" s="85">
        <f>C33+G33</f>
        <v>184.06</v>
      </c>
      <c r="C33" s="85">
        <f t="shared" si="4"/>
        <v>31.38</v>
      </c>
      <c r="D33" s="29">
        <v>5.14</v>
      </c>
      <c r="E33" s="85">
        <v>26.24</v>
      </c>
      <c r="F33" s="73"/>
      <c r="G33" s="74">
        <v>152.68</v>
      </c>
      <c r="K33" s="12" t="s">
        <v>46</v>
      </c>
      <c r="L33" s="29">
        <f t="shared" si="5"/>
        <v>36.950000000000003</v>
      </c>
      <c r="M33" s="29">
        <v>10.220000000000001</v>
      </c>
      <c r="N33" s="29">
        <v>2.85</v>
      </c>
      <c r="O33" s="33">
        <f>2.17+9.08+3.65+0.15</f>
        <v>15.05</v>
      </c>
      <c r="P33" s="29"/>
      <c r="Q33" s="21">
        <v>8.83</v>
      </c>
    </row>
    <row r="34" spans="1:17" ht="15" customHeight="1" outlineLevel="1" x14ac:dyDescent="0.2">
      <c r="A34" s="12" t="s">
        <v>45</v>
      </c>
      <c r="B34" s="85">
        <f t="shared" si="0"/>
        <v>178.39000000000001</v>
      </c>
      <c r="C34" s="85">
        <f t="shared" si="4"/>
        <v>28.830000000000002</v>
      </c>
      <c r="D34" s="29">
        <v>3.41</v>
      </c>
      <c r="E34" s="85">
        <v>25.42</v>
      </c>
      <c r="F34" s="73"/>
      <c r="G34" s="74">
        <v>149.56</v>
      </c>
      <c r="K34" s="12" t="s">
        <v>45</v>
      </c>
      <c r="L34" s="29">
        <f t="shared" si="5"/>
        <v>35.11</v>
      </c>
      <c r="M34" s="29">
        <v>10.11</v>
      </c>
      <c r="N34" s="29">
        <v>2.68</v>
      </c>
      <c r="O34" s="33">
        <f>2.17+8.9+3.65+0.15</f>
        <v>14.870000000000001</v>
      </c>
      <c r="P34" s="29"/>
      <c r="Q34" s="21">
        <v>7.45</v>
      </c>
    </row>
    <row r="35" spans="1:17" ht="15" customHeight="1" outlineLevel="1" x14ac:dyDescent="0.2">
      <c r="A35" s="12" t="s">
        <v>52</v>
      </c>
      <c r="B35" s="85">
        <f t="shared" si="0"/>
        <v>192.89</v>
      </c>
      <c r="C35" s="85">
        <f t="shared" si="4"/>
        <v>27.32</v>
      </c>
      <c r="D35" s="29">
        <v>2.4300000000000002</v>
      </c>
      <c r="E35" s="85">
        <v>24.89</v>
      </c>
      <c r="F35" s="73"/>
      <c r="G35" s="74">
        <v>165.57</v>
      </c>
      <c r="K35" s="12" t="s">
        <v>52</v>
      </c>
      <c r="L35" s="29">
        <f t="shared" si="5"/>
        <v>26.96</v>
      </c>
      <c r="M35" s="29">
        <v>2.2799999999999998</v>
      </c>
      <c r="N35" s="29">
        <v>2.68</v>
      </c>
      <c r="O35" s="33">
        <f>1.79+9.87+3.65</f>
        <v>15.31</v>
      </c>
      <c r="P35" s="29"/>
      <c r="Q35" s="21">
        <v>6.69</v>
      </c>
    </row>
    <row r="36" spans="1:17" ht="15" customHeight="1" outlineLevel="1" x14ac:dyDescent="0.2">
      <c r="A36" s="12" t="s">
        <v>53</v>
      </c>
      <c r="B36" s="85">
        <f t="shared" si="0"/>
        <v>187.11999999999998</v>
      </c>
      <c r="C36" s="85">
        <f t="shared" si="4"/>
        <v>25.7</v>
      </c>
      <c r="D36" s="29">
        <v>1</v>
      </c>
      <c r="E36" s="85">
        <v>24.7</v>
      </c>
      <c r="F36" s="73"/>
      <c r="G36" s="74">
        <v>161.41999999999999</v>
      </c>
      <c r="K36" s="12" t="s">
        <v>53</v>
      </c>
      <c r="L36" s="29">
        <f t="shared" si="5"/>
        <v>26.02</v>
      </c>
      <c r="M36" s="29">
        <v>2.2799999999999998</v>
      </c>
      <c r="N36" s="29">
        <v>2.36</v>
      </c>
      <c r="O36" s="33">
        <f>1.79+9.72+3.65</f>
        <v>15.160000000000002</v>
      </c>
      <c r="P36" s="29"/>
      <c r="Q36" s="21">
        <v>6.22</v>
      </c>
    </row>
    <row r="37" spans="1:17" ht="15" customHeight="1" outlineLevel="1" x14ac:dyDescent="0.2">
      <c r="A37" s="12" t="s">
        <v>54</v>
      </c>
      <c r="B37" s="85">
        <f t="shared" si="0"/>
        <v>181.4</v>
      </c>
      <c r="C37" s="85">
        <f t="shared" si="4"/>
        <v>23.5</v>
      </c>
      <c r="D37" s="29">
        <v>1</v>
      </c>
      <c r="E37" s="85">
        <f>[1]EMC!$C4</f>
        <v>22.5</v>
      </c>
      <c r="F37" s="73"/>
      <c r="G37" s="74">
        <f>[1]EMC!$B4</f>
        <v>157.9</v>
      </c>
      <c r="K37" s="12" t="s">
        <v>54</v>
      </c>
      <c r="L37" s="29">
        <f>SUM(M37:Q37)</f>
        <v>25.08</v>
      </c>
      <c r="M37" s="29">
        <v>0</v>
      </c>
      <c r="N37" s="29">
        <v>2</v>
      </c>
      <c r="O37" s="33">
        <f>1.64+12.59+3.65</f>
        <v>17.88</v>
      </c>
      <c r="P37" s="29"/>
      <c r="Q37" s="21">
        <v>5.2</v>
      </c>
    </row>
    <row r="38" spans="1:17" ht="15" customHeight="1" outlineLevel="1" x14ac:dyDescent="0.2">
      <c r="A38" s="12" t="s">
        <v>55</v>
      </c>
      <c r="B38" s="85">
        <f>C38+G38</f>
        <v>225.9</v>
      </c>
      <c r="C38" s="85">
        <f>SUM(D38:E38)</f>
        <v>23.5</v>
      </c>
      <c r="D38" s="29">
        <v>1</v>
      </c>
      <c r="E38" s="85">
        <f>[1]EMC!$C5</f>
        <v>22.5</v>
      </c>
      <c r="F38" s="73"/>
      <c r="G38" s="74">
        <f>[1]EMC!$B5</f>
        <v>202.4</v>
      </c>
      <c r="K38" s="12" t="s">
        <v>55</v>
      </c>
      <c r="L38" s="29">
        <f>SUM(M38:Q38)</f>
        <v>22.300000000000004</v>
      </c>
      <c r="M38" s="29">
        <v>0</v>
      </c>
      <c r="N38" s="29">
        <v>2</v>
      </c>
      <c r="O38" s="33">
        <f>0.79+11.19+3.65</f>
        <v>15.63</v>
      </c>
      <c r="P38" s="29"/>
      <c r="Q38" s="21">
        <v>4.67</v>
      </c>
    </row>
    <row r="39" spans="1:17" ht="15" customHeight="1" outlineLevel="1" x14ac:dyDescent="0.2">
      <c r="A39" s="12" t="s">
        <v>56</v>
      </c>
      <c r="B39" s="85">
        <v>258.3</v>
      </c>
      <c r="C39" s="85">
        <v>29.5</v>
      </c>
      <c r="D39" s="29">
        <v>0</v>
      </c>
      <c r="E39" s="85">
        <f>[1]EMC!$C6</f>
        <v>29.5</v>
      </c>
      <c r="F39" s="73"/>
      <c r="G39" s="74">
        <f>[1]EMC!$B6</f>
        <v>228.8</v>
      </c>
      <c r="K39" s="12" t="s">
        <v>56</v>
      </c>
      <c r="L39" s="29">
        <v>23</v>
      </c>
      <c r="M39" s="29">
        <v>0</v>
      </c>
      <c r="N39" s="29">
        <v>1.6</v>
      </c>
      <c r="O39" s="33">
        <v>17.100000000000001</v>
      </c>
      <c r="P39" s="29"/>
      <c r="Q39" s="21">
        <v>4.3</v>
      </c>
    </row>
    <row r="40" spans="1:17" ht="15" customHeight="1" outlineLevel="1" x14ac:dyDescent="0.2">
      <c r="A40" s="12" t="s">
        <v>57</v>
      </c>
      <c r="B40" s="85">
        <f t="shared" ref="B40:B45" si="6">C40+G40</f>
        <v>304.39999999999998</v>
      </c>
      <c r="C40" s="85">
        <f t="shared" ref="C40:C50" si="7">D40+E40</f>
        <v>29.5</v>
      </c>
      <c r="D40" s="29">
        <v>0</v>
      </c>
      <c r="E40" s="85">
        <f>[1]EMC!$C7</f>
        <v>29.5</v>
      </c>
      <c r="F40" s="73"/>
      <c r="G40" s="74">
        <f>[1]EMC!$B7</f>
        <v>274.89999999999998</v>
      </c>
      <c r="K40" s="12" t="s">
        <v>57</v>
      </c>
      <c r="L40" s="29">
        <f>M40+N40+O40+Q40</f>
        <v>40.755000000000003</v>
      </c>
      <c r="M40" s="29">
        <v>0</v>
      </c>
      <c r="N40" s="29">
        <v>1.2949999999999999</v>
      </c>
      <c r="O40" s="33">
        <v>35.67</v>
      </c>
      <c r="P40" s="29"/>
      <c r="Q40" s="21">
        <v>3.79</v>
      </c>
    </row>
    <row r="41" spans="1:17" ht="15" customHeight="1" outlineLevel="1" x14ac:dyDescent="0.2">
      <c r="A41" s="12" t="s">
        <v>58</v>
      </c>
      <c r="B41" s="85">
        <f t="shared" si="6"/>
        <v>352.1</v>
      </c>
      <c r="C41" s="85">
        <f t="shared" si="7"/>
        <v>29.5</v>
      </c>
      <c r="D41" s="29">
        <v>0</v>
      </c>
      <c r="E41" s="85">
        <f>[1]EMC!$C8</f>
        <v>29.5</v>
      </c>
      <c r="F41" s="73"/>
      <c r="G41" s="74">
        <f>[1]EMC!$B8</f>
        <v>322.60000000000002</v>
      </c>
      <c r="K41" s="12" t="s">
        <v>58</v>
      </c>
      <c r="L41" s="29">
        <v>63.7</v>
      </c>
      <c r="M41" s="29">
        <v>0</v>
      </c>
      <c r="N41" s="29">
        <v>1.06</v>
      </c>
      <c r="O41" s="33">
        <v>59.3</v>
      </c>
      <c r="P41" s="29"/>
      <c r="Q41" s="21">
        <v>3.32</v>
      </c>
    </row>
    <row r="42" spans="1:17" ht="15" customHeight="1" outlineLevel="1" x14ac:dyDescent="0.2">
      <c r="A42" s="12" t="s">
        <v>60</v>
      </c>
      <c r="B42" s="85">
        <v>372.7</v>
      </c>
      <c r="C42" s="85">
        <f t="shared" si="7"/>
        <v>29.5</v>
      </c>
      <c r="D42" s="29">
        <v>0</v>
      </c>
      <c r="E42" s="85">
        <f>[1]EMC!$C9</f>
        <v>29.5</v>
      </c>
      <c r="F42" s="73"/>
      <c r="G42" s="74">
        <f>[1]EMC!$B9</f>
        <v>343.154</v>
      </c>
      <c r="K42" s="12" t="s">
        <v>60</v>
      </c>
      <c r="L42" s="29">
        <f t="shared" ref="L42" si="8">M42+N42+O42+Q42</f>
        <v>64.06</v>
      </c>
      <c r="M42" s="29">
        <v>0</v>
      </c>
      <c r="N42" s="29">
        <v>0.87</v>
      </c>
      <c r="O42" s="33">
        <v>60.34</v>
      </c>
      <c r="P42" s="29"/>
      <c r="Q42" s="21">
        <v>2.85</v>
      </c>
    </row>
    <row r="43" spans="1:17" ht="15" customHeight="1" outlineLevel="1" x14ac:dyDescent="0.2">
      <c r="A43" s="12" t="s">
        <v>61</v>
      </c>
      <c r="B43" s="85">
        <v>366</v>
      </c>
      <c r="C43" s="85">
        <f t="shared" si="7"/>
        <v>29.5</v>
      </c>
      <c r="D43" s="29">
        <v>0</v>
      </c>
      <c r="E43" s="85">
        <f>[1]EMC!$C10</f>
        <v>29.5</v>
      </c>
      <c r="F43" s="73"/>
      <c r="G43" s="74">
        <f>[1]EMC!$B10</f>
        <v>336.5</v>
      </c>
      <c r="K43" s="12" t="s">
        <v>61</v>
      </c>
      <c r="L43" s="29">
        <f>M43+N43+O43+Q43</f>
        <v>62.4</v>
      </c>
      <c r="M43" s="29">
        <v>0</v>
      </c>
      <c r="N43" s="29">
        <v>0</v>
      </c>
      <c r="O43" s="33">
        <v>59.9</v>
      </c>
      <c r="P43" s="29"/>
      <c r="Q43" s="21">
        <v>2.5</v>
      </c>
    </row>
    <row r="44" spans="1:17" ht="15" customHeight="1" outlineLevel="1" x14ac:dyDescent="0.2">
      <c r="A44" s="12" t="s">
        <v>62</v>
      </c>
      <c r="B44" s="85">
        <f t="shared" si="6"/>
        <v>423.82413400000002</v>
      </c>
      <c r="C44" s="85">
        <f t="shared" si="7"/>
        <v>41</v>
      </c>
      <c r="D44" s="29">
        <v>0</v>
      </c>
      <c r="E44" s="85">
        <f>[1]EMC!$C11</f>
        <v>41</v>
      </c>
      <c r="F44" s="73"/>
      <c r="G44" s="74">
        <f>[1]EMC!$B11</f>
        <v>382.82413400000002</v>
      </c>
      <c r="K44" s="12" t="s">
        <v>62</v>
      </c>
      <c r="L44" s="29">
        <v>52.4</v>
      </c>
      <c r="M44" s="29">
        <v>0</v>
      </c>
      <c r="N44" s="29">
        <v>0</v>
      </c>
      <c r="O44" s="33">
        <v>50.2</v>
      </c>
      <c r="P44" s="29"/>
      <c r="Q44" s="21">
        <v>2.2000000000000002</v>
      </c>
    </row>
    <row r="45" spans="1:17" ht="15" customHeight="1" outlineLevel="1" x14ac:dyDescent="0.2">
      <c r="A45" s="12" t="s">
        <v>63</v>
      </c>
      <c r="B45" s="85">
        <f t="shared" si="6"/>
        <v>449.45148965065994</v>
      </c>
      <c r="C45" s="85">
        <f t="shared" si="7"/>
        <v>53.670999999999999</v>
      </c>
      <c r="D45" s="29">
        <v>0</v>
      </c>
      <c r="E45" s="85">
        <f>[1]EMC!$C12</f>
        <v>53.670999999999999</v>
      </c>
      <c r="F45" s="73"/>
      <c r="G45" s="74">
        <f>[1]EMC!$B12</f>
        <v>395.78048965065994</v>
      </c>
      <c r="K45" s="12" t="s">
        <v>63</v>
      </c>
      <c r="L45" s="29">
        <v>53.2</v>
      </c>
      <c r="M45" s="29">
        <v>0</v>
      </c>
      <c r="N45" s="29">
        <v>0</v>
      </c>
      <c r="O45" s="33">
        <v>51.4</v>
      </c>
      <c r="P45" s="29"/>
      <c r="Q45" s="21">
        <v>1.84</v>
      </c>
    </row>
    <row r="46" spans="1:17" ht="15" customHeight="1" outlineLevel="1" x14ac:dyDescent="0.2">
      <c r="A46" s="12" t="s">
        <v>67</v>
      </c>
      <c r="B46" s="85">
        <f>C46+G46</f>
        <v>450.66776999999996</v>
      </c>
      <c r="C46" s="85">
        <f t="shared" si="7"/>
        <v>56.348999999999997</v>
      </c>
      <c r="D46" s="29">
        <v>0</v>
      </c>
      <c r="E46" s="85">
        <f>[1]EMC!$C13</f>
        <v>56.348999999999997</v>
      </c>
      <c r="F46" s="73"/>
      <c r="G46" s="74">
        <f>[1]EMC!$B13</f>
        <v>394.31876999999997</v>
      </c>
      <c r="K46" s="12" t="s">
        <v>67</v>
      </c>
      <c r="L46" s="29">
        <f>52548754.65/1000000</f>
        <v>52.548754649999999</v>
      </c>
      <c r="M46" s="29">
        <v>0</v>
      </c>
      <c r="N46" s="29">
        <v>0</v>
      </c>
      <c r="O46" s="33">
        <f t="shared" ref="O46:O51" si="9">L46-Q46</f>
        <v>51.045621650000001</v>
      </c>
      <c r="P46" s="29"/>
      <c r="Q46" s="21">
        <f>(279966+651012+572155)/1000000</f>
        <v>1.5031330000000001</v>
      </c>
    </row>
    <row r="47" spans="1:17" ht="15" customHeight="1" outlineLevel="1" x14ac:dyDescent="0.2">
      <c r="A47" s="12" t="s">
        <v>68</v>
      </c>
      <c r="B47" s="85">
        <f>C47+G47</f>
        <v>499.78928400000001</v>
      </c>
      <c r="C47" s="85">
        <f t="shared" si="7"/>
        <v>64.837000000000003</v>
      </c>
      <c r="D47" s="29">
        <v>0</v>
      </c>
      <c r="E47" s="85">
        <f>[1]EMC!$C14</f>
        <v>64.837000000000003</v>
      </c>
      <c r="F47" s="73"/>
      <c r="G47" s="74">
        <f>[1]EMC!$B14</f>
        <v>434.95228400000002</v>
      </c>
      <c r="K47" s="80" t="s">
        <v>70</v>
      </c>
      <c r="L47" s="81">
        <f>51801313.68/1000000</f>
        <v>51.80131368</v>
      </c>
      <c r="M47" s="81">
        <v>0</v>
      </c>
      <c r="N47" s="81">
        <v>0</v>
      </c>
      <c r="O47" s="59">
        <f t="shared" si="9"/>
        <v>50.635715679999997</v>
      </c>
      <c r="P47" s="81"/>
      <c r="Q47" s="82">
        <f>(233305+550857+381436)/1000000</f>
        <v>1.1655979999999999</v>
      </c>
    </row>
    <row r="48" spans="1:17" ht="15" customHeight="1" outlineLevel="1" x14ac:dyDescent="0.2">
      <c r="A48" s="12" t="s">
        <v>69</v>
      </c>
      <c r="B48" s="85">
        <f>C48+G48</f>
        <v>480.50926900000002</v>
      </c>
      <c r="C48" s="85">
        <f t="shared" si="7"/>
        <v>57.348999999999997</v>
      </c>
      <c r="D48" s="29">
        <v>0</v>
      </c>
      <c r="E48" s="85">
        <f>[1]EMC!$C15</f>
        <v>57.348999999999997</v>
      </c>
      <c r="F48" s="73"/>
      <c r="G48" s="74">
        <f>[1]EMC!$B15</f>
        <v>423.16026900000003</v>
      </c>
      <c r="K48" s="80" t="s">
        <v>69</v>
      </c>
      <c r="L48" s="81">
        <f>52348328.76/1000000</f>
        <v>52.348328760000001</v>
      </c>
      <c r="M48" s="81">
        <v>0</v>
      </c>
      <c r="N48" s="81">
        <v>0</v>
      </c>
      <c r="O48" s="59">
        <f t="shared" si="9"/>
        <v>51.520265760000001</v>
      </c>
      <c r="P48" s="81"/>
      <c r="Q48" s="82">
        <f>(186644+450701+190718)/1000000</f>
        <v>0.82806299999999999</v>
      </c>
    </row>
    <row r="49" spans="1:18" ht="15" customHeight="1" outlineLevel="1" x14ac:dyDescent="0.2">
      <c r="A49" s="12" t="s">
        <v>71</v>
      </c>
      <c r="B49" s="85">
        <f t="shared" ref="B49" si="10">C49+G49</f>
        <v>488.41636599999998</v>
      </c>
      <c r="C49" s="85">
        <f t="shared" si="7"/>
        <v>69.986000000000004</v>
      </c>
      <c r="D49" s="29">
        <v>0</v>
      </c>
      <c r="E49" s="85">
        <f>[1]EMC!$C16</f>
        <v>69.986000000000004</v>
      </c>
      <c r="F49" s="73"/>
      <c r="G49" s="74">
        <f>[1]EMC!$B16</f>
        <v>418.43036599999999</v>
      </c>
      <c r="K49" s="80" t="s">
        <v>71</v>
      </c>
      <c r="L49" s="81">
        <f>52850191/1000000</f>
        <v>52.850191000000002</v>
      </c>
      <c r="M49" s="81">
        <v>0</v>
      </c>
      <c r="N49" s="81">
        <v>0</v>
      </c>
      <c r="O49" s="59">
        <f t="shared" si="9"/>
        <v>52.359663000000005</v>
      </c>
      <c r="P49" s="81"/>
      <c r="Q49" s="82">
        <f>(139983+350545+0)/1000000</f>
        <v>0.49052800000000002</v>
      </c>
    </row>
    <row r="50" spans="1:18" ht="15" customHeight="1" outlineLevel="1" x14ac:dyDescent="0.2">
      <c r="A50" s="12" t="s">
        <v>72</v>
      </c>
      <c r="B50" s="85">
        <f>C50+G50</f>
        <v>506.40000000000003</v>
      </c>
      <c r="C50" s="85">
        <f t="shared" si="7"/>
        <v>67.3</v>
      </c>
      <c r="D50" s="29">
        <v>0</v>
      </c>
      <c r="E50" s="85">
        <f>[1]EMC!$C17</f>
        <v>67.3</v>
      </c>
      <c r="F50" s="73"/>
      <c r="G50" s="74">
        <f>[1]EMC!$B17</f>
        <v>439.1</v>
      </c>
      <c r="K50" s="80" t="s">
        <v>72</v>
      </c>
      <c r="L50" s="81">
        <f>52629087/1000000</f>
        <v>52.629086999999998</v>
      </c>
      <c r="M50" s="81">
        <v>0</v>
      </c>
      <c r="N50" s="81">
        <v>0</v>
      </c>
      <c r="O50" s="59">
        <f>L50-Q50</f>
        <v>52.285375999999999</v>
      </c>
      <c r="P50" s="81"/>
      <c r="Q50" s="82">
        <f>(93322+250389)/1000000</f>
        <v>0.34371099999999999</v>
      </c>
    </row>
    <row r="51" spans="1:18" ht="15" customHeight="1" outlineLevel="1" x14ac:dyDescent="0.2">
      <c r="A51" s="12" t="s">
        <v>73</v>
      </c>
      <c r="B51" s="85">
        <f>C51+G51</f>
        <v>504.5</v>
      </c>
      <c r="C51" s="85">
        <f>D51+E51</f>
        <v>67.3</v>
      </c>
      <c r="D51" s="29">
        <v>0</v>
      </c>
      <c r="E51" s="85">
        <f>[1]EMC!$C18</f>
        <v>67.3</v>
      </c>
      <c r="F51" s="73"/>
      <c r="G51" s="74">
        <f>[1]EMC!$B18</f>
        <v>437.2</v>
      </c>
      <c r="K51" s="12" t="s">
        <v>73</v>
      </c>
      <c r="L51" s="29">
        <v>48.8</v>
      </c>
      <c r="M51" s="29">
        <v>0</v>
      </c>
      <c r="N51" s="29">
        <v>0</v>
      </c>
      <c r="O51" s="33">
        <f t="shared" si="9"/>
        <v>48.599999999999994</v>
      </c>
      <c r="P51" s="29"/>
      <c r="Q51" s="21">
        <v>0.2</v>
      </c>
    </row>
    <row r="52" spans="1:18" ht="15" customHeight="1" outlineLevel="1" x14ac:dyDescent="0.2">
      <c r="A52" s="12" t="s">
        <v>76</v>
      </c>
      <c r="B52" s="85">
        <f>C52+G52</f>
        <v>495.40000000000003</v>
      </c>
      <c r="C52" s="85">
        <f>D52+E52</f>
        <v>67.3</v>
      </c>
      <c r="D52" s="29">
        <v>0</v>
      </c>
      <c r="E52" s="85">
        <f>[1]EMC!$C19</f>
        <v>67.3</v>
      </c>
      <c r="F52" s="73"/>
      <c r="G52" s="74">
        <v>428.1</v>
      </c>
      <c r="K52" s="12" t="str">
        <f>A52</f>
        <v>2022/23</v>
      </c>
      <c r="L52" s="29">
        <v>47.1</v>
      </c>
      <c r="M52" s="29">
        <v>0</v>
      </c>
      <c r="N52" s="29">
        <v>0</v>
      </c>
      <c r="O52" s="33">
        <f>L52-Q52</f>
        <v>47.03</v>
      </c>
      <c r="P52" s="29"/>
      <c r="Q52" s="21">
        <v>7.0000000000000007E-2</v>
      </c>
    </row>
    <row r="53" spans="1:18" ht="15" customHeight="1" outlineLevel="1" x14ac:dyDescent="0.3">
      <c r="A53" s="12" t="s">
        <v>78</v>
      </c>
      <c r="B53" s="85">
        <f>C53+G53</f>
        <v>440.8</v>
      </c>
      <c r="C53" s="85">
        <f>D53+E53</f>
        <v>70.3</v>
      </c>
      <c r="D53" s="29">
        <v>0</v>
      </c>
      <c r="E53" s="85">
        <v>70.3</v>
      </c>
      <c r="F53" s="73"/>
      <c r="G53" s="74">
        <v>370.5</v>
      </c>
      <c r="K53" s="12" t="s">
        <v>78</v>
      </c>
      <c r="L53" s="29">
        <v>50.7</v>
      </c>
      <c r="M53" s="29">
        <v>0</v>
      </c>
      <c r="N53" s="29">
        <v>0</v>
      </c>
      <c r="O53" s="33">
        <v>50.7</v>
      </c>
      <c r="P53" s="29"/>
      <c r="Q53" s="21">
        <v>0</v>
      </c>
    </row>
    <row r="54" spans="1:18" ht="15" customHeight="1" outlineLevel="1" x14ac:dyDescent="0.3">
      <c r="A54" s="83" t="s">
        <v>81</v>
      </c>
      <c r="B54" s="86">
        <v>399.3</v>
      </c>
      <c r="C54" s="86">
        <f>D54+E54</f>
        <v>63.888000000000034</v>
      </c>
      <c r="D54" s="77">
        <v>0</v>
      </c>
      <c r="E54" s="86">
        <f>B54-G54</f>
        <v>63.888000000000034</v>
      </c>
      <c r="F54" s="76"/>
      <c r="G54" s="78">
        <f>B54*0.84</f>
        <v>335.41199999999998</v>
      </c>
      <c r="K54" s="83" t="s">
        <v>81</v>
      </c>
      <c r="L54" s="77">
        <v>50.7</v>
      </c>
      <c r="M54" s="77">
        <v>0</v>
      </c>
      <c r="N54" s="77">
        <v>0</v>
      </c>
      <c r="O54" s="95">
        <v>50.7</v>
      </c>
      <c r="P54" s="77"/>
      <c r="Q54" s="79">
        <v>0</v>
      </c>
      <c r="R54" s="97"/>
    </row>
    <row r="55" spans="1:18" s="15" customFormat="1" ht="15" customHeight="1" x14ac:dyDescent="0.2">
      <c r="A55" s="54" t="s">
        <v>75</v>
      </c>
      <c r="B55" s="33"/>
      <c r="C55" s="33"/>
      <c r="D55" s="33"/>
      <c r="E55" s="33"/>
      <c r="F55" s="33"/>
      <c r="G55" s="33"/>
      <c r="H55" s="33"/>
      <c r="I55" s="33"/>
      <c r="J55" s="33"/>
      <c r="K55" s="54" t="s">
        <v>75</v>
      </c>
      <c r="L55" s="49"/>
      <c r="M55" s="50"/>
      <c r="N55" s="49"/>
      <c r="O55" s="58"/>
      <c r="P55" s="38"/>
      <c r="Q55" s="49"/>
      <c r="R55" s="68"/>
    </row>
    <row r="56" spans="1:18" s="15" customFormat="1" ht="15" customHeight="1" x14ac:dyDescent="0.2">
      <c r="A56" s="1" t="s">
        <v>77</v>
      </c>
      <c r="B56" s="87"/>
      <c r="C56" s="93"/>
      <c r="D56" s="33"/>
      <c r="E56" s="33"/>
      <c r="F56" s="33"/>
      <c r="G56" s="33"/>
      <c r="H56" s="33"/>
      <c r="I56" s="33"/>
      <c r="J56" s="33"/>
      <c r="K56" s="1" t="s">
        <v>77</v>
      </c>
      <c r="L56" s="55"/>
      <c r="M56" s="33"/>
      <c r="N56" s="33"/>
      <c r="O56" s="33"/>
      <c r="P56" s="33"/>
      <c r="Q56" s="33"/>
      <c r="R56" s="68"/>
    </row>
    <row r="57" spans="1:18" ht="18" customHeight="1" x14ac:dyDescent="0.25">
      <c r="A57" s="70"/>
      <c r="B57" s="87"/>
      <c r="C57" s="93"/>
      <c r="D57" s="33"/>
      <c r="E57" s="33"/>
      <c r="F57" s="33"/>
      <c r="G57" s="33"/>
      <c r="H57" s="5"/>
      <c r="I57" s="5"/>
      <c r="J57" s="5"/>
      <c r="K57" s="70"/>
      <c r="L57" s="5"/>
      <c r="M57" s="23"/>
      <c r="N57" s="24"/>
    </row>
    <row r="58" spans="1:18" ht="39.450000000000003" customHeight="1" x14ac:dyDescent="0.25">
      <c r="A58" s="69"/>
      <c r="B58" s="87"/>
      <c r="C58" s="93"/>
      <c r="D58" s="33"/>
      <c r="E58" s="33"/>
      <c r="F58" s="33"/>
      <c r="G58" s="33"/>
      <c r="H58" s="5"/>
      <c r="I58" s="5"/>
      <c r="J58" s="5"/>
      <c r="K58" s="98"/>
      <c r="L58" s="98"/>
      <c r="M58" s="98"/>
      <c r="N58" s="98"/>
      <c r="O58" s="98"/>
      <c r="P58" s="98"/>
      <c r="Q58" s="98"/>
    </row>
    <row r="59" spans="1:18" ht="15.75" customHeight="1" x14ac:dyDescent="0.2">
      <c r="H59" s="25"/>
      <c r="I59" s="25"/>
      <c r="J59" s="25"/>
      <c r="K59" s="54"/>
      <c r="L59" s="25"/>
    </row>
    <row r="60" spans="1:18" ht="15" customHeight="1" x14ac:dyDescent="0.2"/>
    <row r="61" spans="1:18" s="15" customFormat="1" ht="15" customHeight="1" x14ac:dyDescent="0.2">
      <c r="B61" s="41"/>
      <c r="C61" s="41"/>
      <c r="D61" s="41"/>
      <c r="E61" s="41"/>
      <c r="I61" s="61"/>
      <c r="J61" s="4"/>
      <c r="K61" s="4"/>
      <c r="L61" s="4"/>
      <c r="M61" s="4"/>
      <c r="O61" s="41"/>
    </row>
    <row r="62" spans="1:18" ht="9.75" customHeight="1" x14ac:dyDescent="0.2">
      <c r="G62" s="96"/>
    </row>
    <row r="63" spans="1:18" ht="13.5" customHeight="1" x14ac:dyDescent="0.2">
      <c r="I63" s="61"/>
    </row>
    <row r="64" spans="1:18" ht="14.55" customHeight="1" x14ac:dyDescent="0.2"/>
    <row r="65" spans="8:13" ht="15" customHeight="1" outlineLevel="1" x14ac:dyDescent="0.2"/>
    <row r="66" spans="8:13" ht="15" customHeight="1" outlineLevel="1" x14ac:dyDescent="0.2"/>
    <row r="67" spans="8:13" ht="15" customHeight="1" outlineLevel="1" collapsed="1" x14ac:dyDescent="0.2"/>
    <row r="68" spans="8:13" ht="13.5" customHeight="1" outlineLevel="1" x14ac:dyDescent="0.2"/>
    <row r="69" spans="8:13" ht="13.5" customHeight="1" outlineLevel="1" x14ac:dyDescent="0.2"/>
    <row r="70" spans="8:13" ht="13.5" customHeight="1" outlineLevel="1" collapsed="1" x14ac:dyDescent="0.2"/>
    <row r="71" spans="8:13" ht="13.5" customHeight="1" outlineLevel="1" x14ac:dyDescent="0.2"/>
    <row r="72" spans="8:13" ht="13.5" customHeight="1" outlineLevel="1" x14ac:dyDescent="0.2"/>
    <row r="73" spans="8:13" ht="13.5" customHeight="1" collapsed="1" x14ac:dyDescent="0.2"/>
    <row r="74" spans="8:13" ht="13.5" customHeight="1" x14ac:dyDescent="0.2">
      <c r="I74" s="24"/>
      <c r="J74" s="24"/>
      <c r="K74" s="24"/>
      <c r="L74" s="24"/>
      <c r="M74" s="24"/>
    </row>
    <row r="75" spans="8:13" ht="13.5" customHeight="1" x14ac:dyDescent="0.2">
      <c r="H75" s="24"/>
      <c r="I75" s="24"/>
      <c r="J75" s="24"/>
      <c r="K75" s="24"/>
      <c r="L75" s="24"/>
      <c r="M75" s="24"/>
    </row>
    <row r="76" spans="8:13" ht="13.5" customHeight="1" x14ac:dyDescent="0.2">
      <c r="H76" s="24"/>
    </row>
    <row r="77" spans="8:13" ht="13.5" customHeight="1" x14ac:dyDescent="0.2"/>
    <row r="78" spans="8:13" ht="13.5" customHeight="1" x14ac:dyDescent="0.2"/>
    <row r="79" spans="8:13" ht="13.5" customHeight="1" x14ac:dyDescent="0.2"/>
    <row r="80" spans="8:13" ht="14.25" customHeight="1" x14ac:dyDescent="0.2">
      <c r="I80" s="31"/>
      <c r="J80" s="31"/>
      <c r="K80" s="31"/>
      <c r="L80" s="31"/>
      <c r="M80" s="31"/>
    </row>
    <row r="81" spans="4:13" s="31" customFormat="1" ht="14.25" customHeight="1" x14ac:dyDescent="0.2">
      <c r="D81" s="41"/>
      <c r="H81" s="4"/>
      <c r="I81" s="39"/>
      <c r="J81" s="39"/>
      <c r="K81" s="39"/>
      <c r="L81" s="39"/>
      <c r="M81" s="39"/>
    </row>
    <row r="82" spans="4:13" s="39" customFormat="1" ht="14.25" customHeight="1" x14ac:dyDescent="0.2">
      <c r="D82" s="75"/>
      <c r="H82" s="4"/>
      <c r="I82" s="31"/>
      <c r="J82" s="31"/>
      <c r="K82" s="31"/>
      <c r="L82" s="31"/>
      <c r="M82" s="31"/>
    </row>
    <row r="83" spans="4:13" s="31" customFormat="1" ht="14.25" customHeight="1" x14ac:dyDescent="0.2">
      <c r="D83" s="41"/>
      <c r="H83" s="4"/>
    </row>
    <row r="84" spans="4:13" s="31" customFormat="1" ht="14.25" customHeight="1" x14ac:dyDescent="0.2">
      <c r="D84" s="41"/>
      <c r="H84" s="4"/>
    </row>
    <row r="85" spans="4:13" s="31" customFormat="1" ht="14.25" customHeight="1" x14ac:dyDescent="0.2">
      <c r="D85" s="41"/>
      <c r="H85" s="4"/>
    </row>
    <row r="86" spans="4:13" s="31" customFormat="1" ht="14.25" customHeight="1" x14ac:dyDescent="0.2">
      <c r="D86" s="41"/>
      <c r="H86" s="4"/>
      <c r="I86" s="63"/>
    </row>
    <row r="87" spans="4:13" s="31" customFormat="1" ht="14.25" customHeight="1" x14ac:dyDescent="0.2">
      <c r="D87" s="41"/>
      <c r="H87" s="4"/>
    </row>
    <row r="88" spans="4:13" s="31" customFormat="1" ht="14.25" customHeight="1" x14ac:dyDescent="0.2">
      <c r="D88" s="41"/>
      <c r="H88" s="4"/>
      <c r="I88" s="61"/>
    </row>
    <row r="89" spans="4:13" s="31" customFormat="1" ht="14.25" customHeight="1" x14ac:dyDescent="0.2">
      <c r="D89" s="41"/>
      <c r="H89" s="4"/>
    </row>
    <row r="90" spans="4:13" s="31" customFormat="1" ht="15" customHeight="1" x14ac:dyDescent="0.2">
      <c r="D90" s="41"/>
      <c r="H90" s="4"/>
      <c r="K90" s="31" t="s">
        <v>59</v>
      </c>
    </row>
    <row r="91" spans="4:13" s="31" customFormat="1" ht="15" customHeight="1" x14ac:dyDescent="0.2">
      <c r="D91" s="41"/>
      <c r="H91" s="4"/>
    </row>
    <row r="92" spans="4:13" s="31" customFormat="1" ht="15" customHeight="1" x14ac:dyDescent="0.2">
      <c r="D92" s="41"/>
      <c r="H92" s="4"/>
    </row>
    <row r="93" spans="4:13" s="31" customFormat="1" ht="15" customHeight="1" x14ac:dyDescent="0.2">
      <c r="D93" s="41"/>
      <c r="H93" s="4"/>
    </row>
    <row r="94" spans="4:13" s="31" customFormat="1" ht="15" customHeight="1" x14ac:dyDescent="0.2">
      <c r="D94" s="41"/>
      <c r="H94" s="4"/>
    </row>
    <row r="95" spans="4:13" s="31" customFormat="1" ht="15" customHeight="1" x14ac:dyDescent="0.2">
      <c r="D95" s="41"/>
      <c r="H95" s="4"/>
    </row>
    <row r="96" spans="4:13" s="31" customFormat="1" ht="15" customHeight="1" x14ac:dyDescent="0.2">
      <c r="D96" s="41"/>
      <c r="H96" s="4"/>
    </row>
    <row r="97" spans="1:15" s="31" customFormat="1" ht="15" customHeight="1" x14ac:dyDescent="0.2">
      <c r="D97" s="41"/>
      <c r="H97" s="4"/>
    </row>
    <row r="98" spans="1:15" s="15" customFormat="1" ht="14.25" customHeight="1" x14ac:dyDescent="0.2">
      <c r="B98" s="41"/>
      <c r="C98" s="41"/>
      <c r="D98" s="41"/>
      <c r="E98" s="41"/>
      <c r="H98" s="33"/>
      <c r="I98" s="33"/>
      <c r="J98" s="33"/>
      <c r="K98" s="33"/>
      <c r="L98" s="33"/>
      <c r="O98" s="41"/>
    </row>
    <row r="99" spans="1:15" s="15" customFormat="1" ht="14.25" customHeight="1" x14ac:dyDescent="0.2">
      <c r="B99" s="41"/>
      <c r="C99" s="41"/>
      <c r="D99" s="41"/>
      <c r="E99" s="41"/>
      <c r="H99" s="33"/>
      <c r="I99" s="33"/>
      <c r="J99" s="33"/>
      <c r="K99" s="33"/>
      <c r="L99" s="33"/>
      <c r="O99" s="41"/>
    </row>
    <row r="100" spans="1:15" s="15" customFormat="1" ht="14.25" customHeight="1" x14ac:dyDescent="0.2">
      <c r="B100" s="41"/>
      <c r="C100" s="41"/>
      <c r="D100" s="41"/>
      <c r="E100" s="41"/>
      <c r="H100" s="33"/>
      <c r="I100" s="33"/>
      <c r="J100" s="33"/>
      <c r="K100" s="33"/>
      <c r="L100" s="33"/>
      <c r="O100" s="41"/>
    </row>
    <row r="101" spans="1:15" s="15" customFormat="1" ht="13.5" customHeight="1" x14ac:dyDescent="0.2">
      <c r="B101" s="41"/>
      <c r="C101" s="41"/>
      <c r="D101" s="41"/>
      <c r="E101" s="41"/>
      <c r="H101" s="33" t="s">
        <v>64</v>
      </c>
      <c r="I101" s="33"/>
      <c r="J101" s="33"/>
      <c r="K101" s="33"/>
      <c r="L101" s="33"/>
      <c r="O101" s="41"/>
    </row>
    <row r="102" spans="1:15" s="60" customFormat="1" ht="14.25" customHeight="1" x14ac:dyDescent="0.2">
      <c r="B102" s="75"/>
      <c r="C102" s="75"/>
      <c r="D102" s="75"/>
      <c r="E102" s="75"/>
      <c r="H102" s="59"/>
      <c r="I102" s="59"/>
      <c r="J102" s="59"/>
      <c r="K102" s="59"/>
      <c r="L102" s="59"/>
      <c r="O102" s="75"/>
    </row>
    <row r="103" spans="1:15" s="60" customFormat="1" ht="14.25" customHeight="1" x14ac:dyDescent="0.2">
      <c r="B103" s="75"/>
      <c r="C103" s="75"/>
      <c r="D103" s="75"/>
      <c r="E103" s="75"/>
      <c r="H103" s="59"/>
      <c r="I103" s="59"/>
      <c r="J103" s="59"/>
      <c r="K103" s="59"/>
      <c r="L103" s="59"/>
      <c r="O103" s="75"/>
    </row>
    <row r="104" spans="1:15" s="60" customFormat="1" ht="14.25" customHeight="1" x14ac:dyDescent="0.2">
      <c r="B104" s="75"/>
      <c r="C104" s="75"/>
      <c r="D104" s="75"/>
      <c r="E104" s="75"/>
      <c r="H104" s="59"/>
      <c r="I104" s="62"/>
      <c r="J104" s="59"/>
      <c r="K104" s="59"/>
      <c r="L104" s="59"/>
      <c r="O104" s="75"/>
    </row>
    <row r="105" spans="1:15" s="15" customFormat="1" ht="14.25" customHeight="1" x14ac:dyDescent="0.2">
      <c r="B105" s="41"/>
      <c r="C105" s="41"/>
      <c r="D105" s="41"/>
      <c r="E105" s="41"/>
      <c r="H105" s="33"/>
      <c r="I105" s="55"/>
      <c r="J105" s="33"/>
      <c r="K105" s="33"/>
      <c r="L105" s="33"/>
      <c r="O105" s="41"/>
    </row>
    <row r="106" spans="1:15" s="60" customFormat="1" ht="14.25" customHeight="1" x14ac:dyDescent="0.2">
      <c r="B106" s="75"/>
      <c r="C106" s="75"/>
      <c r="D106" s="75"/>
      <c r="E106" s="75"/>
      <c r="H106" s="59"/>
      <c r="I106" s="68"/>
      <c r="J106" s="59"/>
      <c r="K106" s="59"/>
      <c r="L106" s="59"/>
      <c r="O106" s="75"/>
    </row>
    <row r="107" spans="1:15" s="15" customFormat="1" ht="14.25" customHeight="1" x14ac:dyDescent="0.2">
      <c r="B107" s="41"/>
      <c r="C107" s="41"/>
      <c r="D107" s="41"/>
      <c r="E107" s="41"/>
      <c r="H107" s="33"/>
      <c r="J107" s="33"/>
      <c r="K107" s="33"/>
      <c r="L107" s="33"/>
      <c r="O107" s="41"/>
    </row>
    <row r="108" spans="1:15" s="15" customFormat="1" ht="14.25" customHeight="1" x14ac:dyDescent="0.2">
      <c r="B108" s="41"/>
      <c r="C108" s="41"/>
      <c r="D108" s="41"/>
      <c r="E108" s="41"/>
      <c r="H108" s="33"/>
      <c r="I108" s="67"/>
      <c r="J108" s="33"/>
      <c r="K108" s="33"/>
      <c r="L108" s="33"/>
      <c r="O108" s="41"/>
    </row>
    <row r="109" spans="1:15" s="15" customFormat="1" ht="14.25" customHeight="1" x14ac:dyDescent="0.2">
      <c r="B109" s="41"/>
      <c r="C109" s="41"/>
      <c r="D109" s="41"/>
      <c r="E109" s="41"/>
      <c r="H109" s="33"/>
      <c r="I109" s="55"/>
      <c r="J109" s="33"/>
      <c r="K109" s="33"/>
      <c r="L109" s="33"/>
      <c r="O109" s="41"/>
    </row>
    <row r="110" spans="1:15" s="19" customFormat="1" ht="12" customHeight="1" x14ac:dyDescent="0.2">
      <c r="B110" s="31"/>
      <c r="C110" s="31"/>
      <c r="D110" s="41"/>
      <c r="E110" s="31"/>
      <c r="H110" s="34"/>
      <c r="I110" s="34"/>
      <c r="J110" s="34"/>
      <c r="K110" s="34"/>
      <c r="L110" s="34"/>
      <c r="O110" s="31"/>
    </row>
    <row r="111" spans="1:15" ht="11.25" customHeight="1" x14ac:dyDescent="0.2">
      <c r="B111" s="87"/>
      <c r="C111" s="93"/>
      <c r="D111" s="33"/>
      <c r="E111" s="33"/>
      <c r="F111" s="33"/>
      <c r="G111" s="33"/>
      <c r="H111" s="24"/>
      <c r="M111" s="24"/>
      <c r="N111" s="24"/>
      <c r="O111" s="43"/>
    </row>
    <row r="112" spans="1:15" ht="13.5" customHeight="1" x14ac:dyDescent="0.2">
      <c r="A112" s="19"/>
      <c r="B112" s="88"/>
      <c r="C112" s="42"/>
      <c r="D112" s="33"/>
      <c r="E112" s="42"/>
      <c r="F112" s="34"/>
      <c r="G112" s="42"/>
      <c r="H112" s="24"/>
      <c r="M112" s="24"/>
    </row>
    <row r="113" spans="1:15" ht="10.5" customHeight="1" x14ac:dyDescent="0.2">
      <c r="A113" s="3"/>
      <c r="B113" s="89"/>
      <c r="C113" s="43"/>
      <c r="D113" s="43"/>
      <c r="G113" s="43"/>
      <c r="H113" s="30"/>
      <c r="I113" s="30"/>
      <c r="J113" s="30"/>
      <c r="K113" s="30"/>
      <c r="L113" s="30"/>
      <c r="M113" s="19"/>
      <c r="N113" s="19"/>
      <c r="O113" s="31"/>
    </row>
    <row r="114" spans="1:15" x14ac:dyDescent="0.2">
      <c r="B114" s="90"/>
      <c r="C114" s="43"/>
      <c r="D114" s="43"/>
      <c r="E114" s="43"/>
      <c r="F114" s="24"/>
      <c r="G114" s="43"/>
    </row>
    <row r="115" spans="1:15" x14ac:dyDescent="0.2">
      <c r="A115" s="35"/>
      <c r="B115" s="33"/>
      <c r="C115" s="33"/>
      <c r="D115" s="33"/>
      <c r="E115" s="33"/>
      <c r="F115" s="30"/>
      <c r="G115" s="33"/>
    </row>
    <row r="117" spans="1:15" x14ac:dyDescent="0.2">
      <c r="A117" s="32"/>
    </row>
    <row r="118" spans="1:15" x14ac:dyDescent="0.2">
      <c r="A118" s="36"/>
      <c r="C118" s="94"/>
    </row>
    <row r="127" spans="1:15" x14ac:dyDescent="0.2">
      <c r="N127" s="37" t="s">
        <v>21</v>
      </c>
    </row>
  </sheetData>
  <mergeCells count="6">
    <mergeCell ref="K58:Q58"/>
    <mergeCell ref="A2:G2"/>
    <mergeCell ref="A3:G3"/>
    <mergeCell ref="K2:Q2"/>
    <mergeCell ref="K3:Q3"/>
    <mergeCell ref="C5:E5"/>
  </mergeCells>
  <printOptions gridLinesSet="0"/>
  <pageMargins left="0.59055118110236204" right="0.93" top="0.59050000000000002" bottom="2.4409448818897599" header="0.5" footer="0.5"/>
  <pageSetup paperSize="9" scale="48" orientation="portrait" horizontalDpi="4294967295" verticalDpi="4294967295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Govt debt</vt:lpstr>
      <vt:lpstr>'Govt debt'!Print_Area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Seneti Lasike</cp:lastModifiedBy>
  <cp:lastPrinted>2024-06-14T04:13:35Z</cp:lastPrinted>
  <dcterms:created xsi:type="dcterms:W3CDTF">1996-10-14T23:33:28Z</dcterms:created>
  <dcterms:modified xsi:type="dcterms:W3CDTF">2025-06-25T23:23:59Z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56A14DA">
    <vt:lpwstr/>
  </property>
  <property fmtid="{D5CDD505-2E9C-101B-9397-08002B2CF9AE}" pid="3" name="IVID333512D0">
    <vt:lpwstr/>
  </property>
  <property fmtid="{D5CDD505-2E9C-101B-9397-08002B2CF9AE}" pid="4" name="IVID424519F9">
    <vt:lpwstr/>
  </property>
  <property fmtid="{D5CDD505-2E9C-101B-9397-08002B2CF9AE}" pid="5" name="IVID1C2510E0">
    <vt:lpwstr/>
  </property>
  <property fmtid="{D5CDD505-2E9C-101B-9397-08002B2CF9AE}" pid="6" name="IVID234B13D4">
    <vt:lpwstr/>
  </property>
  <property fmtid="{D5CDD505-2E9C-101B-9397-08002B2CF9AE}" pid="7" name="IVID29051603">
    <vt:lpwstr/>
  </property>
  <property fmtid="{D5CDD505-2E9C-101B-9397-08002B2CF9AE}" pid="8" name="IVID173011FD">
    <vt:lpwstr/>
  </property>
  <property fmtid="{D5CDD505-2E9C-101B-9397-08002B2CF9AE}" pid="9" name="IVID2E3915F2">
    <vt:lpwstr/>
  </property>
  <property fmtid="{D5CDD505-2E9C-101B-9397-08002B2CF9AE}" pid="10" name="IVID2D2A1208">
    <vt:lpwstr/>
  </property>
  <property fmtid="{D5CDD505-2E9C-101B-9397-08002B2CF9AE}" pid="11" name="IVID3B6707D1">
    <vt:lpwstr/>
  </property>
  <property fmtid="{D5CDD505-2E9C-101B-9397-08002B2CF9AE}" pid="12" name="IVID261B0FEA">
    <vt:lpwstr/>
  </property>
  <property fmtid="{D5CDD505-2E9C-101B-9397-08002B2CF9AE}" pid="13" name="IVID4456AA12">
    <vt:lpwstr/>
  </property>
  <property fmtid="{D5CDD505-2E9C-101B-9397-08002B2CF9AE}" pid="14" name="IVID177918E6">
    <vt:lpwstr/>
  </property>
  <property fmtid="{D5CDD505-2E9C-101B-9397-08002B2CF9AE}" pid="15" name="IVID40041C57">
    <vt:lpwstr/>
  </property>
  <property fmtid="{D5CDD505-2E9C-101B-9397-08002B2CF9AE}" pid="16" name="IVID37DE3FB1">
    <vt:lpwstr/>
  </property>
</Properties>
</file>